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760"/>
  </bookViews>
  <sheets>
    <sheet name="Sheet1" sheetId="1" r:id="rId1"/>
    <sheet name="Sheet2" sheetId="2" r:id="rId2"/>
    <sheet name="Sheet3" sheetId="3" r:id="rId3"/>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6" i="1"/>
  <c r="K117" l="1"/>
  <c r="L117"/>
  <c r="M117"/>
  <c r="R116"/>
  <c r="S116"/>
  <c r="Q116"/>
  <c r="K116"/>
  <c r="L116"/>
  <c r="M116"/>
  <c r="J116"/>
  <c r="N115"/>
  <c r="P115"/>
  <c r="P112"/>
  <c r="N112"/>
  <c r="O112" l="1"/>
  <c r="O115"/>
  <c r="A154"/>
  <c r="J154"/>
  <c r="K154"/>
  <c r="L154"/>
  <c r="M154"/>
  <c r="Q154"/>
  <c r="R154"/>
  <c r="S154"/>
  <c r="T143" l="1"/>
  <c r="T156"/>
  <c r="T171"/>
  <c r="T193"/>
  <c r="P92"/>
  <c r="N92"/>
  <c r="O92" l="1"/>
  <c r="P113"/>
  <c r="N113"/>
  <c r="P111"/>
  <c r="N111"/>
  <c r="P109"/>
  <c r="N109"/>
  <c r="P108"/>
  <c r="N108"/>
  <c r="P106"/>
  <c r="N106"/>
  <c r="P105"/>
  <c r="N105"/>
  <c r="P95"/>
  <c r="N95"/>
  <c r="P94"/>
  <c r="N94"/>
  <c r="N117" l="1"/>
  <c r="N116"/>
  <c r="P117"/>
  <c r="P116"/>
  <c r="O113"/>
  <c r="O109"/>
  <c r="O111"/>
  <c r="O108"/>
  <c r="O106"/>
  <c r="O105"/>
  <c r="O94"/>
  <c r="O95"/>
  <c r="O117" l="1"/>
  <c r="O116"/>
  <c r="J127"/>
  <c r="K127"/>
  <c r="L127"/>
  <c r="M127"/>
  <c r="Q127"/>
  <c r="R127"/>
  <c r="S127"/>
  <c r="S191"/>
  <c r="R191"/>
  <c r="Q191"/>
  <c r="M191"/>
  <c r="L191"/>
  <c r="K191"/>
  <c r="J191"/>
  <c r="A191"/>
  <c r="S190"/>
  <c r="R190"/>
  <c r="Q190"/>
  <c r="M190"/>
  <c r="L190"/>
  <c r="K190"/>
  <c r="J190"/>
  <c r="A190"/>
  <c r="S189"/>
  <c r="R189"/>
  <c r="Q189"/>
  <c r="M189"/>
  <c r="L189"/>
  <c r="K189"/>
  <c r="J189"/>
  <c r="A189"/>
  <c r="S186"/>
  <c r="R186"/>
  <c r="Q186"/>
  <c r="M186"/>
  <c r="L186"/>
  <c r="K186"/>
  <c r="J186"/>
  <c r="A186"/>
  <c r="S185"/>
  <c r="R185"/>
  <c r="Q185"/>
  <c r="M185"/>
  <c r="L185"/>
  <c r="K185"/>
  <c r="J185"/>
  <c r="A185"/>
  <c r="S184"/>
  <c r="R184"/>
  <c r="Q184"/>
  <c r="M184"/>
  <c r="L184"/>
  <c r="K184"/>
  <c r="J184"/>
  <c r="A184"/>
  <c r="S183"/>
  <c r="R183"/>
  <c r="Q183"/>
  <c r="M183"/>
  <c r="L183"/>
  <c r="K183"/>
  <c r="J183"/>
  <c r="A183"/>
  <c r="S182"/>
  <c r="R182"/>
  <c r="Q182"/>
  <c r="M182"/>
  <c r="L182"/>
  <c r="K182"/>
  <c r="J182"/>
  <c r="A182"/>
  <c r="S181"/>
  <c r="R181"/>
  <c r="Q181"/>
  <c r="M181"/>
  <c r="L181"/>
  <c r="K181"/>
  <c r="J181"/>
  <c r="A181"/>
  <c r="S169"/>
  <c r="R169"/>
  <c r="Q169"/>
  <c r="M169"/>
  <c r="L169"/>
  <c r="K169"/>
  <c r="J169"/>
  <c r="A169"/>
  <c r="S166"/>
  <c r="R166"/>
  <c r="Q166"/>
  <c r="M166"/>
  <c r="L166"/>
  <c r="K166"/>
  <c r="J166"/>
  <c r="A166"/>
  <c r="S165"/>
  <c r="R165"/>
  <c r="Q165"/>
  <c r="M165"/>
  <c r="L165"/>
  <c r="K165"/>
  <c r="J165"/>
  <c r="A165"/>
  <c r="S164"/>
  <c r="R164"/>
  <c r="Q164"/>
  <c r="M164"/>
  <c r="L164"/>
  <c r="K164"/>
  <c r="J164"/>
  <c r="S141"/>
  <c r="R141"/>
  <c r="Q141"/>
  <c r="M141"/>
  <c r="L141"/>
  <c r="K141"/>
  <c r="J141"/>
  <c r="A141"/>
  <c r="S138"/>
  <c r="R138"/>
  <c r="Q138"/>
  <c r="M138"/>
  <c r="L138"/>
  <c r="K138"/>
  <c r="J138"/>
  <c r="A138"/>
  <c r="S137"/>
  <c r="R137"/>
  <c r="Q137"/>
  <c r="M137"/>
  <c r="L137"/>
  <c r="K137"/>
  <c r="J137"/>
  <c r="A137"/>
  <c r="S136"/>
  <c r="R136"/>
  <c r="Q136"/>
  <c r="M136"/>
  <c r="L136"/>
  <c r="K136"/>
  <c r="J136"/>
  <c r="A136"/>
  <c r="S135"/>
  <c r="R135"/>
  <c r="Q135"/>
  <c r="M135"/>
  <c r="L135"/>
  <c r="K135"/>
  <c r="J135"/>
  <c r="A135"/>
  <c r="S134"/>
  <c r="R134"/>
  <c r="Q134"/>
  <c r="M134"/>
  <c r="L134"/>
  <c r="K134"/>
  <c r="J134"/>
  <c r="A134"/>
  <c r="S133"/>
  <c r="R133"/>
  <c r="Q133"/>
  <c r="M133"/>
  <c r="L133"/>
  <c r="K133"/>
  <c r="J133"/>
  <c r="A133"/>
  <c r="S132"/>
  <c r="R132"/>
  <c r="Q132"/>
  <c r="M132"/>
  <c r="L132"/>
  <c r="K132"/>
  <c r="J132"/>
  <c r="A132"/>
  <c r="S131"/>
  <c r="R131"/>
  <c r="Q131"/>
  <c r="M131"/>
  <c r="L131"/>
  <c r="K131"/>
  <c r="J131"/>
  <c r="A131"/>
  <c r="S130"/>
  <c r="R130"/>
  <c r="Q130"/>
  <c r="M130"/>
  <c r="L130"/>
  <c r="K130"/>
  <c r="J130"/>
  <c r="A130"/>
  <c r="S129"/>
  <c r="R129"/>
  <c r="Q129"/>
  <c r="M129"/>
  <c r="L129"/>
  <c r="K129"/>
  <c r="J129"/>
  <c r="A129"/>
  <c r="S128"/>
  <c r="R128"/>
  <c r="Q128"/>
  <c r="M128"/>
  <c r="L128"/>
  <c r="K128"/>
  <c r="J128"/>
  <c r="A128"/>
  <c r="A127"/>
  <c r="S126"/>
  <c r="R126"/>
  <c r="Q126"/>
  <c r="M126"/>
  <c r="L126"/>
  <c r="K126"/>
  <c r="J126"/>
  <c r="A126"/>
  <c r="K142" l="1"/>
  <c r="S142"/>
  <c r="K170"/>
  <c r="S170"/>
  <c r="K187"/>
  <c r="S187"/>
  <c r="L155"/>
  <c r="M192"/>
  <c r="Q192"/>
  <c r="M155"/>
  <c r="Q155"/>
  <c r="Q156" s="1"/>
  <c r="J155"/>
  <c r="J156" s="1"/>
  <c r="R155"/>
  <c r="R156" s="1"/>
  <c r="L167"/>
  <c r="J170"/>
  <c r="R170"/>
  <c r="J192"/>
  <c r="R192"/>
  <c r="K192"/>
  <c r="S192"/>
  <c r="J142"/>
  <c r="R142"/>
  <c r="K155"/>
  <c r="S155"/>
  <c r="S156" s="1"/>
  <c r="M167"/>
  <c r="Q167"/>
  <c r="K167"/>
  <c r="S167"/>
  <c r="J187"/>
  <c r="R187"/>
  <c r="L187"/>
  <c r="L192"/>
  <c r="L142"/>
  <c r="L170"/>
  <c r="M187"/>
  <c r="Q187"/>
  <c r="M142"/>
  <c r="Q142"/>
  <c r="M170"/>
  <c r="Q170"/>
  <c r="J167"/>
  <c r="R167"/>
  <c r="L139"/>
  <c r="M139"/>
  <c r="Q139"/>
  <c r="S139"/>
  <c r="K139"/>
  <c r="J139"/>
  <c r="R139"/>
  <c r="K143" l="1"/>
  <c r="R193"/>
  <c r="M172"/>
  <c r="K171"/>
  <c r="L157"/>
  <c r="L156"/>
  <c r="K157"/>
  <c r="K156"/>
  <c r="M156"/>
  <c r="M157"/>
  <c r="Q143"/>
  <c r="M171"/>
  <c r="S171"/>
  <c r="L143"/>
  <c r="J143"/>
  <c r="M194"/>
  <c r="J193"/>
  <c r="S143"/>
  <c r="L172"/>
  <c r="K193"/>
  <c r="R171"/>
  <c r="L171"/>
  <c r="M193"/>
  <c r="Q193"/>
  <c r="L193"/>
  <c r="R143"/>
  <c r="L144"/>
  <c r="M144"/>
  <c r="J171"/>
  <c r="K194"/>
  <c r="S193"/>
  <c r="Q171"/>
  <c r="K172"/>
  <c r="L194"/>
  <c r="M143"/>
  <c r="K144"/>
  <c r="K158" l="1"/>
  <c r="K173"/>
  <c r="K195"/>
  <c r="K145"/>
  <c r="N86" l="1"/>
  <c r="P86"/>
  <c r="N87"/>
  <c r="P87"/>
  <c r="N88"/>
  <c r="P88"/>
  <c r="N89"/>
  <c r="P89"/>
  <c r="N90"/>
  <c r="P90"/>
  <c r="N91"/>
  <c r="P91"/>
  <c r="O88" l="1"/>
  <c r="O86"/>
  <c r="O87"/>
  <c r="O89"/>
  <c r="O90"/>
  <c r="O91"/>
  <c r="N96"/>
  <c r="J96"/>
  <c r="L96"/>
  <c r="M96"/>
  <c r="Q96"/>
  <c r="R96"/>
  <c r="S96"/>
  <c r="K97"/>
  <c r="L97"/>
  <c r="M97"/>
  <c r="N44"/>
  <c r="N164" s="1"/>
  <c r="P44"/>
  <c r="P164" s="1"/>
  <c r="O44" l="1"/>
  <c r="O164" s="1"/>
  <c r="K98"/>
  <c r="P96"/>
  <c r="P97"/>
  <c r="N97"/>
  <c r="T79"/>
  <c r="O97" l="1"/>
  <c r="O96"/>
  <c r="N98" l="1"/>
  <c r="P75"/>
  <c r="P189" s="1"/>
  <c r="N75" l="1"/>
  <c r="O75" l="1"/>
  <c r="O189" s="1"/>
  <c r="N189"/>
  <c r="T70"/>
  <c r="T57" l="1"/>
  <c r="T46"/>
  <c r="U29" l="1"/>
  <c r="U28"/>
  <c r="P78" l="1"/>
  <c r="P169" s="1"/>
  <c r="P170" s="1"/>
  <c r="P77"/>
  <c r="P76"/>
  <c r="P190" s="1"/>
  <c r="P141" l="1"/>
  <c r="P142" s="1"/>
  <c r="P191"/>
  <c r="P192" s="1"/>
  <c r="K118"/>
  <c r="N118" l="1"/>
  <c r="N43" l="1"/>
  <c r="P43"/>
  <c r="P56"/>
  <c r="N56"/>
  <c r="P55"/>
  <c r="N55"/>
  <c r="S79"/>
  <c r="R79"/>
  <c r="Q79"/>
  <c r="M79"/>
  <c r="L79"/>
  <c r="K79"/>
  <c r="J79"/>
  <c r="N78"/>
  <c r="N169" s="1"/>
  <c r="N170" s="1"/>
  <c r="N77"/>
  <c r="N76"/>
  <c r="N190" s="1"/>
  <c r="S70"/>
  <c r="R70"/>
  <c r="Q70"/>
  <c r="M70"/>
  <c r="L70"/>
  <c r="K70"/>
  <c r="J70"/>
  <c r="P69"/>
  <c r="N69"/>
  <c r="P68"/>
  <c r="P185" s="1"/>
  <c r="N68"/>
  <c r="N185" s="1"/>
  <c r="P67"/>
  <c r="N67"/>
  <c r="P66"/>
  <c r="P136" s="1"/>
  <c r="N66"/>
  <c r="N136" s="1"/>
  <c r="P65"/>
  <c r="P135" s="1"/>
  <c r="N65"/>
  <c r="N135" s="1"/>
  <c r="P64"/>
  <c r="N64"/>
  <c r="S57"/>
  <c r="R57"/>
  <c r="Q57"/>
  <c r="M57"/>
  <c r="L57"/>
  <c r="K57"/>
  <c r="J57"/>
  <c r="P54"/>
  <c r="P181" s="1"/>
  <c r="N54"/>
  <c r="N181" s="1"/>
  <c r="P53"/>
  <c r="P165" s="1"/>
  <c r="N53"/>
  <c r="N165" s="1"/>
  <c r="P52"/>
  <c r="P131" s="1"/>
  <c r="N52"/>
  <c r="N131" s="1"/>
  <c r="P51"/>
  <c r="N51"/>
  <c r="N154" s="1"/>
  <c r="N45"/>
  <c r="N129" s="1"/>
  <c r="N42"/>
  <c r="N128" s="1"/>
  <c r="N41"/>
  <c r="N127" s="1"/>
  <c r="N40"/>
  <c r="N126" s="1"/>
  <c r="K46"/>
  <c r="P45"/>
  <c r="P129" s="1"/>
  <c r="P42"/>
  <c r="P128" s="1"/>
  <c r="P41"/>
  <c r="P127" s="1"/>
  <c r="S46"/>
  <c r="R46"/>
  <c r="Q46"/>
  <c r="P40"/>
  <c r="P126" s="1"/>
  <c r="M46"/>
  <c r="L46"/>
  <c r="J46"/>
  <c r="P154" l="1"/>
  <c r="P155" s="1"/>
  <c r="P157" s="1"/>
  <c r="N130"/>
  <c r="P130"/>
  <c r="N155"/>
  <c r="N156" s="1"/>
  <c r="N141"/>
  <c r="N142" s="1"/>
  <c r="N191"/>
  <c r="N192" s="1"/>
  <c r="P137"/>
  <c r="P184"/>
  <c r="N134"/>
  <c r="N183"/>
  <c r="P134"/>
  <c r="P183"/>
  <c r="N132"/>
  <c r="N182"/>
  <c r="P138"/>
  <c r="P186"/>
  <c r="N137"/>
  <c r="N184"/>
  <c r="N138"/>
  <c r="N186"/>
  <c r="P132"/>
  <c r="P182"/>
  <c r="N133"/>
  <c r="N166"/>
  <c r="N167" s="1"/>
  <c r="P133"/>
  <c r="P166"/>
  <c r="P167" s="1"/>
  <c r="O69"/>
  <c r="U79"/>
  <c r="U57"/>
  <c r="R201"/>
  <c r="R203" s="1"/>
  <c r="U46"/>
  <c r="N70"/>
  <c r="O5" s="1"/>
  <c r="U5" s="1"/>
  <c r="S201"/>
  <c r="S203" s="1"/>
  <c r="U70"/>
  <c r="J202"/>
  <c r="O56"/>
  <c r="P70"/>
  <c r="O52"/>
  <c r="O131" s="1"/>
  <c r="O53"/>
  <c r="O165" s="1"/>
  <c r="O54"/>
  <c r="O181" s="1"/>
  <c r="O66"/>
  <c r="O136" s="1"/>
  <c r="O67"/>
  <c r="P57"/>
  <c r="O76"/>
  <c r="O190" s="1"/>
  <c r="O78"/>
  <c r="O169" s="1"/>
  <c r="O170" s="1"/>
  <c r="O43"/>
  <c r="N46"/>
  <c r="O40"/>
  <c r="O126" s="1"/>
  <c r="O64"/>
  <c r="O42"/>
  <c r="O128" s="1"/>
  <c r="N79"/>
  <c r="R5" s="1"/>
  <c r="U6" s="1"/>
  <c r="P46"/>
  <c r="O45"/>
  <c r="O129" s="1"/>
  <c r="O51"/>
  <c r="O154" s="1"/>
  <c r="O41"/>
  <c r="O127" s="1"/>
  <c r="N57"/>
  <c r="R4" s="1"/>
  <c r="U4" s="1"/>
  <c r="O65"/>
  <c r="O135" s="1"/>
  <c r="O68"/>
  <c r="O185" s="1"/>
  <c r="O77"/>
  <c r="O55"/>
  <c r="P79"/>
  <c r="N157" l="1"/>
  <c r="P156"/>
  <c r="O130"/>
  <c r="O155"/>
  <c r="O157" s="1"/>
  <c r="N187"/>
  <c r="N193" s="1"/>
  <c r="O141"/>
  <c r="O142" s="1"/>
  <c r="O191"/>
  <c r="O192" s="1"/>
  <c r="N139"/>
  <c r="N144" s="1"/>
  <c r="P187"/>
  <c r="P194" s="1"/>
  <c r="O134"/>
  <c r="O183"/>
  <c r="O137"/>
  <c r="O184"/>
  <c r="O132"/>
  <c r="O182"/>
  <c r="P139"/>
  <c r="P144" s="1"/>
  <c r="O138"/>
  <c r="O186"/>
  <c r="N172"/>
  <c r="N171"/>
  <c r="O133"/>
  <c r="O166"/>
  <c r="O167" s="1"/>
  <c r="P171"/>
  <c r="P172"/>
  <c r="O4"/>
  <c r="U3" s="1"/>
  <c r="J201"/>
  <c r="H202"/>
  <c r="O57"/>
  <c r="O46"/>
  <c r="O79"/>
  <c r="O70"/>
  <c r="N158" l="1"/>
  <c r="O156"/>
  <c r="P193"/>
  <c r="N194"/>
  <c r="N143"/>
  <c r="O187"/>
  <c r="O194" s="1"/>
  <c r="P143"/>
  <c r="O139"/>
  <c r="O143" s="1"/>
  <c r="O172"/>
  <c r="N173" s="1"/>
  <c r="O171"/>
  <c r="L202"/>
  <c r="L201" s="1"/>
  <c r="L203" s="1"/>
  <c r="H201"/>
  <c r="J203"/>
  <c r="N195" l="1"/>
  <c r="O193"/>
  <c r="O144"/>
  <c r="N145" s="1"/>
  <c r="N202"/>
  <c r="U202" s="1"/>
  <c r="N201"/>
  <c r="H203"/>
  <c r="P202" s="1"/>
  <c r="N203" l="1"/>
  <c r="P201"/>
  <c r="P203" s="1"/>
</calcChain>
</file>

<file path=xl/sharedStrings.xml><?xml version="1.0" encoding="utf-8"?>
<sst xmlns="http://schemas.openxmlformats.org/spreadsheetml/2006/main" count="500" uniqueCount="181">
  <si>
    <t>PLAN DE ÎNVĂŢĂMÂNT  valabil începând din anul universitar 2020-2021</t>
  </si>
  <si>
    <t xml:space="preserve">III. NUMĂRUL ORELOR PE SĂPTĂMANĂ </t>
  </si>
  <si>
    <t xml:space="preserve">UNIVERSITATEA BABEŞ-BOLYAI CLUJ-NAPOCA
</t>
  </si>
  <si>
    <t>Semestrul I</t>
  </si>
  <si>
    <t>Semestrul II</t>
  </si>
  <si>
    <t>Anul I</t>
  </si>
  <si>
    <t>Anul II</t>
  </si>
  <si>
    <t>Domeniul: Științe ale educației</t>
  </si>
  <si>
    <t>Specializarea/Programul de studiu:  Masterat Didactic - Chimie (în limba maghiară) / Didaktikai mesteri - Kémia (mgyar nyelven) / Master in Didactics - Chemistry (in Hungarian language)</t>
  </si>
  <si>
    <t>Limba de predare: maghiară</t>
  </si>
  <si>
    <r>
      <rPr>
        <b/>
        <sz val="10"/>
        <color indexed="8"/>
        <rFont val="Times New Roman"/>
        <family val="1"/>
      </rPr>
      <t>IV.EXAMENUL DE DISERTAȚIE</t>
    </r>
    <r>
      <rPr>
        <sz val="10"/>
        <color indexed="8"/>
        <rFont val="Times New Roman"/>
        <family val="1"/>
      </rPr>
      <t xml:space="preserve"> - perioada iunie-iulie (1 săptămână)
Proba: Prezentarea şi susţinerea lucrării de disertație - 10 credite
</t>
    </r>
  </si>
  <si>
    <t>Titlul absolventului: MASTER</t>
  </si>
  <si>
    <t>Verificați standardele specifice domeniului dumneavoastră pentru a evita incongruențele.</t>
  </si>
  <si>
    <r>
      <t xml:space="preserve">Durata studiilor: </t>
    </r>
    <r>
      <rPr>
        <b/>
        <sz val="10"/>
        <color indexed="8"/>
        <rFont val="Times New Roman"/>
        <family val="1"/>
      </rPr>
      <t>4 semestre</t>
    </r>
  </si>
  <si>
    <r>
      <t xml:space="preserve">Forma de învăţământ: </t>
    </r>
    <r>
      <rPr>
        <b/>
        <sz val="10"/>
        <color indexed="8"/>
        <rFont val="Times New Roman"/>
        <family val="1"/>
      </rPr>
      <t>cu frecvenţă</t>
    </r>
  </si>
  <si>
    <t>I. CERINŢE PENTRU OBŢINEREA DIPLOMEI DE MASTER</t>
  </si>
  <si>
    <t>V. MODUL DE ALEGERE A DISCIPLINELOR OPŢIONALE</t>
  </si>
  <si>
    <t>120 de credite din care:</t>
  </si>
  <si>
    <t xml:space="preserve">Sem. 2: Se alege  o disciplină din pachetul: PMX1001 </t>
  </si>
  <si>
    <r>
      <rPr>
        <b/>
        <sz val="10"/>
        <color indexed="8"/>
        <rFont val="Times New Roman"/>
        <family val="1"/>
      </rPr>
      <t xml:space="preserve">  112  </t>
    </r>
    <r>
      <rPr>
        <sz val="10"/>
        <color indexed="8"/>
        <rFont val="Times New Roman"/>
        <family val="1"/>
      </rPr>
      <t>de credite la disciplinele obligatorii;</t>
    </r>
  </si>
  <si>
    <t xml:space="preserve">Sem. 4: Se alege  o disciplină din pachetul: PMX1002 </t>
  </si>
  <si>
    <t>ÎN TOATE TABELELE DIN ACEASTĂ MACHETĂ, TREBUIE SĂ INTRODUCEȚI  DATE NUMAI ÎN CELULELE MARCATE CU GALBEN</t>
  </si>
  <si>
    <r>
      <rPr>
        <b/>
        <sz val="10"/>
        <color indexed="8"/>
        <rFont val="Times New Roman"/>
        <family val="1"/>
      </rPr>
      <t xml:space="preserve">  8 </t>
    </r>
    <r>
      <rPr>
        <sz val="10"/>
        <color indexed="8"/>
        <rFont val="Times New Roman"/>
        <family val="1"/>
      </rPr>
      <t xml:space="preserve"> de credite la disciplinele opţionale;</t>
    </r>
  </si>
  <si>
    <t>Şi:</t>
  </si>
  <si>
    <r>
      <rPr>
        <b/>
        <sz val="10"/>
        <color indexed="8"/>
        <rFont val="Times New Roman"/>
        <family val="1"/>
      </rPr>
      <t>10</t>
    </r>
    <r>
      <rPr>
        <sz val="10"/>
        <color indexed="8"/>
        <rFont val="Times New Roman"/>
        <family val="1"/>
      </rPr>
      <t xml:space="preserve"> credite la examenul de susținere a disertației</t>
    </r>
  </si>
  <si>
    <t>Tabelele/rândurile necompletate se șterg sau se ascund (dacă afectează formulele) HIDE</t>
  </si>
  <si>
    <t>În contul a cel mult 2 discipline opţionale, studentul are dreptul să aleagă 2 discipline de la alte specializări ale facultăţilor din Universitatea „Babeş-Bolyai”, respectând condiționările din planurile de învățământ ale respectivelor specializări.</t>
  </si>
  <si>
    <t>II. DESFĂŞURAREA STUDIILOR (în număr de săptămani)</t>
  </si>
  <si>
    <t>Planul este alcătuit pe baza planului cadru al programelor de masterat didactic aprobat OM Nr. 4524/2020 din 12 iunie 2020, publicat în MONITORUL OFICIAL NR. 528 din 19 iunie 2020</t>
  </si>
  <si>
    <t>denumirile cursurilor din planurile de învățământ vor apărea în limba româna, în limba programului de studiu, dar și în limba engleză (în cazul programelor în altă limbă decât engleza și al celor în limba română).</t>
  </si>
  <si>
    <t>Activităţi didactice</t>
  </si>
  <si>
    <t>Sesiune de examene</t>
  </si>
  <si>
    <t>L.P comasate</t>
  </si>
  <si>
    <t>Stagii de practică</t>
  </si>
  <si>
    <t>Vacanţă</t>
  </si>
  <si>
    <t>Sem I</t>
  </si>
  <si>
    <t>Sem II</t>
  </si>
  <si>
    <t>I</t>
  </si>
  <si>
    <t>V</t>
  </si>
  <si>
    <t>R</t>
  </si>
  <si>
    <t xml:space="preserve">iarna </t>
  </si>
  <si>
    <t>prim</t>
  </si>
  <si>
    <t>vara</t>
  </si>
  <si>
    <t>VII. TABELUL DISCIPLINELOR</t>
  </si>
  <si>
    <t>PP</t>
  </si>
  <si>
    <t>DC</t>
  </si>
  <si>
    <t>SSP</t>
  </si>
  <si>
    <t>DM</t>
  </si>
  <si>
    <t>PP&amp;DM</t>
  </si>
  <si>
    <t>PP/SSP</t>
  </si>
  <si>
    <t>ANUL I, SEMESTRUL 1</t>
  </si>
  <si>
    <t>COD</t>
  </si>
  <si>
    <t>DENUMIREA DISCIPLINELOR</t>
  </si>
  <si>
    <t>Credite ECTS</t>
  </si>
  <si>
    <t>Ore fizice săptămânale</t>
  </si>
  <si>
    <t>Ore alocate studiului</t>
  </si>
  <si>
    <t>Forme de evaluare</t>
  </si>
  <si>
    <t>Felul disciplinei</t>
  </si>
  <si>
    <t>Syllabus</t>
  </si>
  <si>
    <t>C</t>
  </si>
  <si>
    <t>S</t>
  </si>
  <si>
    <t>LP</t>
  </si>
  <si>
    <t>F</t>
  </si>
  <si>
    <t>T</t>
  </si>
  <si>
    <t>E</t>
  </si>
  <si>
    <t>VP</t>
  </si>
  <si>
    <t>PMM5101</t>
  </si>
  <si>
    <t>Pedagogie: teorii și practici/ Pedagógia: elméletek és gyakorlatok/ Pedagogy: theory and practice</t>
  </si>
  <si>
    <t>PMM5102</t>
  </si>
  <si>
    <t xml:space="preserve">Psihologia educatiei  / Neveléspszichológia  / Educational psychology </t>
  </si>
  <si>
    <t>meg kell legyen a modulos</t>
  </si>
  <si>
    <t>PMM5103</t>
  </si>
  <si>
    <t>Curriculum școlar și dezvoltare curriculară/ Iskolai tanterv és tantervfejlesztés / School curriculum and curriculum development</t>
  </si>
  <si>
    <t>a tantervelmélet jó ide</t>
  </si>
  <si>
    <t>PMM5104</t>
  </si>
  <si>
    <t>Etică și integritate academică/ Etika és akadémiai integritás / Ethics and academic integrity</t>
  </si>
  <si>
    <t>CMM6112</t>
  </si>
  <si>
    <t>Chimie avansata pentru invatamantul preuniversitar /Haladó  kémia középiskolai tanitáshoz/ Advanced Chemistry for Secondary School Education</t>
  </si>
  <si>
    <t>PMM5106</t>
  </si>
  <si>
    <t>Practică pedagogică I (pedagogie)/ Pedagógiai gyakorlat I. (pedagógai) / Teaching practice I (pedagogy)</t>
  </si>
  <si>
    <t>átpofozzuk a tanítóképzőst</t>
  </si>
  <si>
    <t>TOTAL</t>
  </si>
  <si>
    <t>ANUL I, SEMESTRUL 2</t>
  </si>
  <si>
    <t>PMM5207</t>
  </si>
  <si>
    <t>Designul instruirii și teoriile învățării / Oktatástervezés és tanuláselméletek / Instructional design and learning theories</t>
  </si>
  <si>
    <t>PMM5208</t>
  </si>
  <si>
    <t>Managementul clasei/ Tanulásszervezés / Classroom managemant</t>
  </si>
  <si>
    <t>PMM5540</t>
  </si>
  <si>
    <t>Didactica de specialitate (Chimie) / Szakmódszertank (Kémia) / Specific didactics (Chemistry)</t>
  </si>
  <si>
    <t>PMM5541</t>
  </si>
  <si>
    <t>Practică pedagogică II (specialitate)/ Pedagógiai gyakorlat II. (szakmódszertani) / Teaching practice II (specialisation)</t>
  </si>
  <si>
    <t>PMM5211</t>
  </si>
  <si>
    <t>Cercetare educațională I (cercetare observațională de teren, studii de caz etc.) / A pedagógiai kuatás módszertana I. (megfigyelés, esettanulmányok stb.) / Educational research I. (observational field research, case studies, etc.)</t>
  </si>
  <si>
    <t>PMX1001</t>
  </si>
  <si>
    <t>Disciplină opțională psihopedagogică/de specialitate la latitudinea universității  / Választható tantárgy (pszichopedagógia/szaktárgy) / Elective (psychopedagogy/specialisation)</t>
  </si>
  <si>
    <t>ANUL II, SEMESTRUL 3</t>
  </si>
  <si>
    <t>PMM5312</t>
  </si>
  <si>
    <t>Evaluarea și testare în educație / Értékelés és tesztelés az oktatásban / Assessment and testing in education</t>
  </si>
  <si>
    <t>PMM5313</t>
  </si>
  <si>
    <t>Educație incluzivă / Inkluzív nevelés / Inclusive education</t>
  </si>
  <si>
    <t>PMM5314</t>
  </si>
  <si>
    <t>Comunicare eficientă și managementul emoțiilor / Hatékony kommunikáció és érzelemszabályozás / Efficient communication and the management of emotions</t>
  </si>
  <si>
    <t>PMM5315</t>
  </si>
  <si>
    <t>Cercetare educațională II (cercetare acțiune) / A pedagógiai kutatás módszertana II. (akciókutatás) / Educational research II (action research)</t>
  </si>
  <si>
    <t>PMM5542</t>
  </si>
  <si>
    <t>Practică pedagogică III (specialitate)/ Pedagógiai gyakorlat III. (szakmódszertani) / Teaching practice III (specialisation)</t>
  </si>
  <si>
    <t>PMM5317</t>
  </si>
  <si>
    <t>Medii virtuale de învățare / Virtuális tanítási környezetek / Virtual learning environments</t>
  </si>
  <si>
    <t>ANUL II, SEMESTRUL 4</t>
  </si>
  <si>
    <t>PMM5543</t>
  </si>
  <si>
    <t xml:space="preserve">Didactica domeniului (abordare integrată a curriculumului școlar) / A műveltségterület módszertana (a tanterv integrált megközelítése) / Field didactics (an integrated approach of the curriculum) </t>
  </si>
  <si>
    <t>PMM5544</t>
  </si>
  <si>
    <t>Practică pedagogică IV (specialitate)/ Pedagógiai gyakorlat IV. (szakmódszertani) / Teaching Practice IV (specialisation)</t>
  </si>
  <si>
    <t>PMM5545</t>
  </si>
  <si>
    <t>Cercetare educațională pentru elaborarea lucrării de disertație (cotutelă) / A pedagógai kutatás módszertana - mesteri disszertáció készítése / Educational research for writing a masters dissertation (co-tutelage)</t>
  </si>
  <si>
    <t>?</t>
  </si>
  <si>
    <t>PMX1002</t>
  </si>
  <si>
    <t>Disciplină opțională de specialitate la latitudinea universității / Választható szaktantárgy  / Elective (specialisation)</t>
  </si>
  <si>
    <t>DISCIPLINE OPȚIONALE</t>
  </si>
  <si>
    <t>CURS OPȚIONAL  (An I, Semestrul 2)- (PMX1001)  se alege cel puțin o disciplină</t>
  </si>
  <si>
    <t>PMM5212</t>
  </si>
  <si>
    <t>Drepturile copilui și educația / A gyermekek jogai és az oktatás / Child rights and education</t>
  </si>
  <si>
    <t>PMM5213</t>
  </si>
  <si>
    <t>Planificarea și managementul activităților extacurriculare / Extrakurrikuláris tevékenységek tervezése és menedzsmentje / Planning and management of extracurricular activities</t>
  </si>
  <si>
    <t>PMM5214</t>
  </si>
  <si>
    <t>Pedagogie dramatică / Drámapedagógia / Drama in education</t>
  </si>
  <si>
    <t>PMM5215</t>
  </si>
  <si>
    <t>Consiliere educațională / Iskolai tanácsadás / Educational counceling</t>
  </si>
  <si>
    <t>pszichológia</t>
  </si>
  <si>
    <t>PMM5216</t>
  </si>
  <si>
    <t>Educatie pentru sustenabilitate / Fenntarthatóságra való nevelés / Education for sustainability</t>
  </si>
  <si>
    <t>PMM5217</t>
  </si>
  <si>
    <t>Profesia didactică: formare și dezvoltare în carieră / Pedagógiai professzió: szakmai önismeret és karrierépítés / Teaching profession: formation and carreer development</t>
  </si>
  <si>
    <t>PMM5218</t>
  </si>
  <si>
    <t>Cultura mediatică / Médiakultúra / Media culture</t>
  </si>
  <si>
    <t>CURS OPȚIONAL  (An II, Semestrul 4)- (PMX1002) se alege cel puțin o disciplină</t>
  </si>
  <si>
    <t>CMM6641</t>
  </si>
  <si>
    <t>Analiză structurală avansată / Haladó szerkezetvizsgálat / Advanced structural analysis</t>
  </si>
  <si>
    <t>CMM6644</t>
  </si>
  <si>
    <t>Relatii structura-activitate biologica/ Szerkezet és biologia aktivitás közti kapcsolat/  Relation between structure and biological activity</t>
  </si>
  <si>
    <t xml:space="preserve">TOTAL CREDITE / ORE PE SĂPTĂMÂNĂ / EVALUĂRI </t>
  </si>
  <si>
    <t xml:space="preserve">TOTAL ORE FIZICE / TOTAL ORE ALOCATE STUDIULUI </t>
  </si>
  <si>
    <t>DISCIPLINE FACULTATIVE la latitudinea universității, centrate pe domeniile transversale de competență (peste cele 30 de credite obligatorii)</t>
  </si>
  <si>
    <t>CURS FACULTATIV 1 (An I, Semestrul 1)</t>
  </si>
  <si>
    <t>CMM6111</t>
  </si>
  <si>
    <t>Chimie coloidală avansată / Haladó kolloid kemia/Advanced colloid  Chemistry</t>
  </si>
  <si>
    <t>Input de la specializare</t>
  </si>
  <si>
    <t>CLM6133</t>
  </si>
  <si>
    <t xml:space="preserve">Metode cromatografice /Kromatográfiás módszerek/Chromatographic methods </t>
  </si>
  <si>
    <t>CURS FACULTATIV  2 (An I, Semestrul 2)</t>
  </si>
  <si>
    <t>CMM6622</t>
  </si>
  <si>
    <t>Sinteze asimetrice /Aszimetrikus szintézisek / Asymethric synthesis</t>
  </si>
  <si>
    <t>CMM6141</t>
  </si>
  <si>
    <t>Analiza de macro- şi microcomponente  din probe naturale/Természetes anyagok mikro- és makrokomponenseinek analízise /Analysis of macro- and microcomponents from natural samples</t>
  </si>
  <si>
    <t>CURS FACULTATIV  3 (An II, Semestrul 3)</t>
  </si>
  <si>
    <t xml:space="preserve">Materiale biocompatibile /Biokompatibilis anyagok/ Biocompatible materials </t>
  </si>
  <si>
    <t>CMM6113</t>
  </si>
  <si>
    <t xml:space="preserve">Analiza retrosintetică/ Retroszintézis/ Retrosynthetic analysis </t>
  </si>
  <si>
    <t>CMM6115</t>
  </si>
  <si>
    <t>Biochimie avansată / Haladó szintű biokémia/Advanced biochemistry</t>
  </si>
  <si>
    <t>CURS FACULTATIV  4 (An II, Semestrul 4)</t>
  </si>
  <si>
    <t>CMM8245</t>
  </si>
  <si>
    <t>Design biomaterialelor /Bioanyagok tervezése /Design of biomaterials</t>
  </si>
  <si>
    <t xml:space="preserve">Anexă la Planul de Învățământ specializarea / programul de studiu: </t>
  </si>
  <si>
    <t>DISCIPLINE DIN PROFILUL PSIHOPEDAGOGOGIE (PP)</t>
  </si>
  <si>
    <t>Semestrele 1 - 3 (14 săptămâni)</t>
  </si>
  <si>
    <t>Semestrul 4 (12 săptămâni)</t>
  </si>
  <si>
    <t>DISCIPLINE COMPLEMENTARE (DC)</t>
  </si>
  <si>
    <t>DISCIPLINE DE SPECIALITATE PRINCIPALA (SSP)</t>
  </si>
  <si>
    <t>Semestrul  4 (12 săptămâni)</t>
  </si>
  <si>
    <t>DISCIPLINE DE PROFIL DIDACTICĂ ȘI METODOLOGICĂ (DM)</t>
  </si>
  <si>
    <t>BILANȚ GENERAL</t>
  </si>
  <si>
    <t>DISCIPLINE</t>
  </si>
  <si>
    <t>ORE FIZICE</t>
  </si>
  <si>
    <t>ORE ALOCATE STUDIULUI</t>
  </si>
  <si>
    <t>%</t>
  </si>
  <si>
    <t>NR. DE CREDITE</t>
  </si>
  <si>
    <t>AN I</t>
  </si>
  <si>
    <t>AN II</t>
  </si>
  <si>
    <t>OBLIGATORII</t>
  </si>
  <si>
    <t>OPȚIONALE</t>
  </si>
</sst>
</file>

<file path=xl/styles.xml><?xml version="1.0" encoding="utf-8"?>
<styleSheet xmlns="http://schemas.openxmlformats.org/spreadsheetml/2006/main">
  <numFmts count="1">
    <numFmt numFmtId="164" formatCode="0;\-0;;@"/>
  </numFmts>
  <fonts count="20">
    <font>
      <sz val="11"/>
      <color theme="1"/>
      <name val="Calibri"/>
      <family val="2"/>
      <charset val="238"/>
      <scheme val="minor"/>
    </font>
    <font>
      <sz val="10"/>
      <color indexed="8"/>
      <name val="Times New Roman"/>
      <family val="1"/>
    </font>
    <font>
      <b/>
      <sz val="10"/>
      <color indexed="8"/>
      <name val="Times New Roman"/>
      <family val="1"/>
    </font>
    <font>
      <sz val="10"/>
      <color indexed="9"/>
      <name val="Times New Roman"/>
      <family val="1"/>
    </font>
    <font>
      <b/>
      <sz val="11"/>
      <color indexed="8"/>
      <name val="Times New Roman"/>
      <family val="1"/>
    </font>
    <font>
      <sz val="10"/>
      <color indexed="10"/>
      <name val="Times New Roman"/>
      <family val="1"/>
    </font>
    <font>
      <sz val="8"/>
      <name val="Calibri"/>
      <family val="2"/>
      <charset val="238"/>
    </font>
    <font>
      <sz val="10"/>
      <color theme="0"/>
      <name val="Times New Roman"/>
      <family val="1"/>
    </font>
    <font>
      <b/>
      <sz val="10"/>
      <color theme="1"/>
      <name val="Times New Roman"/>
      <family val="1"/>
    </font>
    <font>
      <sz val="10"/>
      <color theme="1"/>
      <name val="Times New Roman"/>
      <family val="1"/>
    </font>
    <font>
      <sz val="14"/>
      <color indexed="8"/>
      <name val="Times New Roman"/>
      <family val="1"/>
    </font>
    <font>
      <sz val="14"/>
      <color theme="1"/>
      <name val="Calibri"/>
      <family val="2"/>
      <charset val="238"/>
      <scheme val="minor"/>
    </font>
    <font>
      <sz val="10"/>
      <color rgb="FFFF0000"/>
      <name val="Times New Roman"/>
      <family val="1"/>
    </font>
    <font>
      <sz val="10"/>
      <name val="Times New Roman"/>
      <family val="1"/>
    </font>
    <font>
      <sz val="11"/>
      <name val="Calibri"/>
      <family val="2"/>
      <charset val="238"/>
      <scheme val="minor"/>
    </font>
    <font>
      <b/>
      <sz val="10"/>
      <color indexed="8"/>
      <name val="Times New Roman"/>
      <family val="1"/>
      <charset val="238"/>
    </font>
    <font>
      <sz val="10"/>
      <color indexed="8"/>
      <name val="Times New Roman"/>
      <family val="1"/>
      <charset val="238"/>
    </font>
    <font>
      <sz val="9"/>
      <color indexed="8"/>
      <name val="Times New Roman"/>
      <family val="1"/>
      <charset val="1"/>
    </font>
    <font>
      <sz val="11"/>
      <color theme="1"/>
      <name val="Calibri"/>
      <family val="2"/>
      <charset val="238"/>
      <scheme val="minor"/>
    </font>
    <font>
      <sz val="11"/>
      <color rgb="FF9C0006"/>
      <name val="Calibri"/>
      <family val="2"/>
      <scheme val="minor"/>
    </font>
  </fonts>
  <fills count="9">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rgb="FFFFFF00"/>
        <bgColor indexed="64"/>
      </patternFill>
    </fill>
    <fill>
      <patternFill patternType="solid">
        <fgColor rgb="FFFFC7CE"/>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9" fontId="18" fillId="0" borderId="0" applyFont="0" applyFill="0" applyBorder="0" applyAlignment="0" applyProtection="0"/>
    <xf numFmtId="0" fontId="19" fillId="8" borderId="0" applyNumberFormat="0" applyBorder="0" applyAlignment="0" applyProtection="0"/>
  </cellStyleXfs>
  <cellXfs count="276">
    <xf numFmtId="0" fontId="0" fillId="0" borderId="0" xfId="0"/>
    <xf numFmtId="0" fontId="1" fillId="0" borderId="0" xfId="0" applyFont="1" applyProtection="1">
      <protection locked="0"/>
    </xf>
    <xf numFmtId="0" fontId="1" fillId="0" borderId="2" xfId="0" applyFont="1" applyBorder="1" applyAlignment="1" applyProtection="1">
      <alignment horizontal="center" vertical="center"/>
      <protection locked="0"/>
    </xf>
    <xf numFmtId="0" fontId="2" fillId="0" borderId="2" xfId="0" applyFont="1" applyBorder="1" applyProtection="1">
      <protection locked="0"/>
    </xf>
    <xf numFmtId="0" fontId="1" fillId="0" borderId="1" xfId="0" applyFont="1" applyBorder="1" applyAlignment="1" applyProtection="1">
      <alignment horizontal="center" vertical="center" wrapText="1"/>
      <protection locked="0"/>
    </xf>
    <xf numFmtId="0" fontId="5" fillId="0" borderId="0" xfId="0" applyFont="1" applyProtection="1">
      <protection locked="0"/>
    </xf>
    <xf numFmtId="0" fontId="7" fillId="0" borderId="0" xfId="0" applyFont="1" applyProtection="1">
      <protection locked="0"/>
    </xf>
    <xf numFmtId="0" fontId="1" fillId="3" borderId="1" xfId="0" applyFont="1" applyFill="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1" fontId="2" fillId="0" borderId="0" xfId="0" applyNumberFormat="1" applyFont="1" applyBorder="1" applyAlignment="1" applyProtection="1">
      <alignment horizontal="center" vertical="center"/>
      <protection locked="0"/>
    </xf>
    <xf numFmtId="1" fontId="2" fillId="0" borderId="0" xfId="0" applyNumberFormat="1" applyFont="1" applyBorder="1" applyAlignment="1" applyProtection="1">
      <alignment horizontal="center"/>
      <protection locked="0"/>
    </xf>
    <xf numFmtId="2" fontId="1" fillId="0" borderId="0" xfId="0" applyNumberFormat="1"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3" fillId="0" borderId="0" xfId="0" applyFont="1" applyProtection="1">
      <protection locked="0"/>
    </xf>
    <xf numFmtId="0" fontId="1" fillId="2" borderId="1" xfId="0" applyFont="1" applyFill="1" applyBorder="1" applyAlignment="1" applyProtection="1">
      <alignment horizontal="center" vertical="center"/>
      <protection locked="0"/>
    </xf>
    <xf numFmtId="1" fontId="1"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wrapText="1"/>
      <protection locked="0"/>
    </xf>
    <xf numFmtId="0" fontId="2" fillId="0" borderId="4" xfId="0" applyFont="1" applyBorder="1" applyProtection="1">
      <protection locked="0"/>
    </xf>
    <xf numFmtId="0" fontId="1" fillId="0" borderId="4"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xf>
    <xf numFmtId="0" fontId="8" fillId="0" borderId="1" xfId="0" applyFont="1" applyBorder="1" applyAlignment="1" applyProtection="1">
      <alignment horizontal="center" vertical="center"/>
    </xf>
    <xf numFmtId="49" fontId="1" fillId="3" borderId="1" xfId="0" applyNumberFormat="1" applyFont="1" applyFill="1" applyBorder="1" applyAlignment="1" applyProtection="1">
      <alignment horizontal="center" vertical="center" wrapText="1"/>
      <protection locked="0"/>
    </xf>
    <xf numFmtId="0" fontId="1" fillId="3" borderId="1" xfId="0" applyFont="1" applyFill="1" applyBorder="1" applyAlignment="1" applyProtection="1">
      <alignment horizontal="left" vertical="center"/>
      <protection locked="0"/>
    </xf>
    <xf numFmtId="0" fontId="1" fillId="0" borderId="1" xfId="0" applyFont="1" applyBorder="1" applyAlignment="1" applyProtection="1">
      <alignment horizontal="center"/>
    </xf>
    <xf numFmtId="0" fontId="12" fillId="0" borderId="0" xfId="0" applyFont="1" applyProtection="1">
      <protection locked="0"/>
    </xf>
    <xf numFmtId="0" fontId="1" fillId="0" borderId="0" xfId="0" applyFont="1" applyProtection="1">
      <protection locked="0"/>
    </xf>
    <xf numFmtId="0" fontId="1" fillId="0" borderId="0" xfId="0" applyFont="1" applyProtection="1">
      <protection locked="0"/>
    </xf>
    <xf numFmtId="0" fontId="16" fillId="3" borderId="1" xfId="0" applyFont="1" applyFill="1" applyBorder="1" applyAlignment="1" applyProtection="1">
      <alignment horizontal="left" vertical="center"/>
      <protection locked="0"/>
    </xf>
    <xf numFmtId="0" fontId="16" fillId="3" borderId="1" xfId="0" applyFont="1" applyFill="1" applyBorder="1" applyAlignment="1" applyProtection="1">
      <alignment horizontal="center" vertical="center"/>
      <protection locked="0"/>
    </xf>
    <xf numFmtId="0" fontId="16" fillId="0" borderId="1" xfId="0" applyFont="1" applyBorder="1" applyAlignment="1" applyProtection="1">
      <alignment horizontal="center" vertical="center"/>
    </xf>
    <xf numFmtId="1" fontId="16" fillId="0" borderId="1" xfId="0" applyNumberFormat="1" applyFont="1" applyBorder="1" applyAlignment="1" applyProtection="1">
      <alignment horizontal="center" vertical="center"/>
    </xf>
    <xf numFmtId="2" fontId="16" fillId="3" borderId="1" xfId="0" applyNumberFormat="1"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wrapText="1"/>
      <protection locked="0"/>
    </xf>
    <xf numFmtId="0" fontId="1" fillId="0" borderId="0" xfId="0" applyFont="1" applyProtection="1">
      <protection locked="0"/>
    </xf>
    <xf numFmtId="0" fontId="1" fillId="0" borderId="0" xfId="0" applyFont="1" applyAlignment="1" applyProtection="1">
      <alignment horizontal="left"/>
      <protection locked="0"/>
    </xf>
    <xf numFmtId="0" fontId="1" fillId="0" borderId="0" xfId="0" applyFont="1" applyProtection="1">
      <protection locked="0"/>
    </xf>
    <xf numFmtId="0" fontId="1" fillId="0" borderId="1" xfId="0" applyFont="1" applyBorder="1" applyAlignment="1" applyProtection="1">
      <alignment horizontal="center" vertical="center"/>
    </xf>
    <xf numFmtId="1" fontId="1" fillId="3" borderId="1" xfId="0" applyNumberFormat="1" applyFont="1" applyFill="1" applyBorder="1" applyAlignment="1" applyProtection="1">
      <alignment horizontal="left" vertical="center"/>
      <protection locked="0"/>
    </xf>
    <xf numFmtId="0" fontId="1" fillId="0" borderId="0" xfId="0" applyFont="1" applyProtection="1">
      <protection locked="0"/>
    </xf>
    <xf numFmtId="0" fontId="1" fillId="0" borderId="1" xfId="0" applyFont="1" applyBorder="1" applyAlignment="1">
      <alignment horizontal="left" vertical="center"/>
    </xf>
    <xf numFmtId="1"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0" fontId="1" fillId="0" borderId="1" xfId="0" applyFont="1" applyBorder="1"/>
    <xf numFmtId="0" fontId="13"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1" fontId="1" fillId="0" borderId="1" xfId="0" applyNumberFormat="1" applyFont="1" applyBorder="1" applyAlignment="1" applyProtection="1">
      <alignment horizontal="center" vertical="center" wrapText="1"/>
    </xf>
    <xf numFmtId="2" fontId="1" fillId="3" borderId="1" xfId="0" applyNumberFormat="1" applyFont="1" applyFill="1" applyBorder="1" applyAlignment="1" applyProtection="1">
      <alignment horizontal="center" vertical="center" wrapText="1"/>
      <protection locked="0"/>
    </xf>
    <xf numFmtId="0" fontId="1" fillId="0" borderId="0" xfId="0" applyFont="1" applyAlignment="1" applyProtection="1">
      <alignment wrapText="1"/>
      <protection locked="0"/>
    </xf>
    <xf numFmtId="0" fontId="1" fillId="0" borderId="0" xfId="0" applyFont="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3" fillId="0" borderId="0" xfId="0" applyFont="1" applyAlignment="1" applyProtection="1">
      <alignment vertical="center"/>
      <protection locked="0"/>
    </xf>
    <xf numFmtId="1" fontId="13" fillId="3" borderId="1" xfId="0" applyNumberFormat="1" applyFont="1" applyFill="1" applyBorder="1" applyAlignment="1" applyProtection="1">
      <alignment horizontal="center" vertical="center"/>
      <protection locked="0"/>
    </xf>
    <xf numFmtId="1" fontId="13" fillId="0" borderId="1" xfId="0" applyNumberFormat="1" applyFont="1" applyBorder="1" applyAlignment="1">
      <alignment horizontal="center" vertical="center"/>
    </xf>
    <xf numFmtId="1" fontId="13" fillId="3" borderId="1" xfId="0" applyNumberFormat="1" applyFont="1" applyFill="1" applyBorder="1" applyAlignment="1" applyProtection="1">
      <alignment horizontal="center" vertical="center" wrapText="1"/>
      <protection locked="0"/>
    </xf>
    <xf numFmtId="9" fontId="2" fillId="3" borderId="3" xfId="1" applyFont="1" applyFill="1" applyBorder="1" applyAlignment="1" applyProtection="1">
      <alignment horizontal="center" vertical="center"/>
      <protection locked="0"/>
    </xf>
    <xf numFmtId="9" fontId="2" fillId="3" borderId="3" xfId="0" applyNumberFormat="1" applyFont="1" applyFill="1" applyBorder="1" applyAlignment="1" applyProtection="1">
      <alignment horizontal="center" vertical="center"/>
      <protection locked="0"/>
    </xf>
    <xf numFmtId="0" fontId="12" fillId="3" borderId="1" xfId="0" applyFont="1" applyFill="1" applyBorder="1" applyAlignment="1" applyProtection="1">
      <alignment horizontal="left" vertical="center"/>
      <protection locked="0"/>
    </xf>
    <xf numFmtId="1" fontId="12" fillId="3" borderId="1" xfId="0" applyNumberFormat="1" applyFont="1" applyFill="1" applyBorder="1" applyAlignment="1" applyProtection="1">
      <alignment horizontal="center" vertical="center"/>
      <protection locked="0"/>
    </xf>
    <xf numFmtId="1" fontId="12" fillId="0" borderId="1" xfId="0" applyNumberFormat="1" applyFont="1" applyBorder="1" applyAlignment="1">
      <alignment horizontal="center" vertical="center"/>
    </xf>
    <xf numFmtId="1" fontId="12" fillId="3" borderId="1" xfId="0" applyNumberFormat="1"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2" fillId="3" borderId="1" xfId="0" applyFont="1" applyFill="1" applyBorder="1" applyAlignment="1" applyProtection="1">
      <alignment horizontal="left" vertical="center" wrapText="1"/>
      <protection locked="0"/>
    </xf>
    <xf numFmtId="0" fontId="12" fillId="3" borderId="1" xfId="0"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wrapText="1"/>
    </xf>
    <xf numFmtId="1" fontId="12" fillId="0" borderId="1" xfId="0" applyNumberFormat="1" applyFont="1" applyBorder="1" applyAlignment="1" applyProtection="1">
      <alignment horizontal="center" vertical="center" wrapText="1"/>
    </xf>
    <xf numFmtId="2" fontId="12" fillId="3" borderId="1" xfId="0" applyNumberFormat="1" applyFont="1" applyFill="1" applyBorder="1" applyAlignment="1" applyProtection="1">
      <alignment horizontal="center" vertical="center" wrapText="1"/>
      <protection locked="0"/>
    </xf>
    <xf numFmtId="0" fontId="12" fillId="0" borderId="0" xfId="0" applyFont="1" applyAlignment="1" applyProtection="1">
      <alignment vertical="center" wrapText="1"/>
      <protection locked="0"/>
    </xf>
    <xf numFmtId="0" fontId="12" fillId="0" borderId="0" xfId="0" applyFont="1" applyAlignment="1" applyProtection="1">
      <alignment wrapText="1"/>
      <protection locked="0"/>
    </xf>
    <xf numFmtId="0" fontId="12" fillId="0" borderId="1" xfId="0" applyFont="1" applyBorder="1" applyAlignment="1">
      <alignment horizontal="left" vertical="center"/>
    </xf>
    <xf numFmtId="0" fontId="19" fillId="8" borderId="1" xfId="2"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lignment horizontal="center" vertical="center"/>
    </xf>
    <xf numFmtId="0" fontId="1" fillId="0" borderId="0" xfId="0" applyFont="1" applyBorder="1" applyAlignment="1" applyProtection="1">
      <protection locked="0"/>
    </xf>
    <xf numFmtId="0" fontId="1" fillId="0" borderId="4"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1" xfId="0" applyFont="1" applyBorder="1" applyAlignment="1" applyProtection="1">
      <alignment horizontal="center" vertical="center" wrapText="1"/>
    </xf>
    <xf numFmtId="0" fontId="1" fillId="0" borderId="1" xfId="0" applyFont="1" applyBorder="1" applyAlignment="1">
      <alignment horizontal="center" vertical="center"/>
    </xf>
    <xf numFmtId="0" fontId="1" fillId="3" borderId="2"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2" fillId="0" borderId="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0" fontId="13" fillId="3" borderId="2" xfId="0" applyFont="1" applyFill="1" applyBorder="1" applyAlignment="1" applyProtection="1">
      <alignment horizontal="left" vertical="center" wrapText="1"/>
      <protection locked="0"/>
    </xf>
    <xf numFmtId="0" fontId="13" fillId="3" borderId="5" xfId="0" applyFont="1" applyFill="1" applyBorder="1" applyAlignment="1" applyProtection="1">
      <alignment horizontal="left" vertical="center" wrapText="1"/>
      <protection locked="0"/>
    </xf>
    <xf numFmtId="0" fontId="13" fillId="3" borderId="6" xfId="0" applyFont="1" applyFill="1" applyBorder="1" applyAlignment="1" applyProtection="1">
      <alignment horizontal="left" vertical="center" wrapText="1"/>
      <protection locked="0"/>
    </xf>
    <xf numFmtId="0" fontId="12" fillId="3" borderId="2" xfId="0" applyFont="1" applyFill="1" applyBorder="1" applyAlignment="1" applyProtection="1">
      <alignment horizontal="left" vertical="center" wrapText="1" shrinkToFit="1"/>
      <protection locked="0"/>
    </xf>
    <xf numFmtId="0" fontId="12" fillId="3" borderId="5" xfId="0" applyFont="1" applyFill="1" applyBorder="1" applyAlignment="1" applyProtection="1">
      <alignment horizontal="left" vertical="center" wrapText="1" shrinkToFit="1"/>
      <protection locked="0"/>
    </xf>
    <xf numFmtId="0" fontId="12" fillId="3" borderId="6" xfId="0" applyFont="1" applyFill="1" applyBorder="1" applyAlignment="1" applyProtection="1">
      <alignment horizontal="left" vertical="center" wrapText="1" shrinkToFit="1"/>
      <protection locked="0"/>
    </xf>
    <xf numFmtId="0" fontId="2" fillId="0" borderId="2" xfId="0" applyNumberFormat="1" applyFont="1" applyBorder="1" applyAlignment="1" applyProtection="1">
      <alignment horizontal="center" vertical="center"/>
      <protection locked="0"/>
    </xf>
    <xf numFmtId="0" fontId="2" fillId="0" borderId="5" xfId="0" applyNumberFormat="1" applyFont="1" applyBorder="1" applyAlignment="1" applyProtection="1">
      <alignment horizontal="center" vertical="center"/>
      <protection locked="0"/>
    </xf>
    <xf numFmtId="0" fontId="2" fillId="0" borderId="6" xfId="0" applyNumberFormat="1" applyFont="1" applyBorder="1" applyAlignment="1" applyProtection="1">
      <alignment horizontal="center" vertical="center"/>
      <protection locked="0"/>
    </xf>
    <xf numFmtId="1" fontId="2" fillId="0" borderId="2" xfId="0" applyNumberFormat="1"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0" fontId="13" fillId="3" borderId="5" xfId="0" applyFont="1" applyFill="1" applyBorder="1" applyAlignment="1" applyProtection="1">
      <alignment horizontal="left" vertical="center"/>
      <protection locked="0"/>
    </xf>
    <xf numFmtId="0" fontId="13" fillId="3" borderId="6" xfId="0" applyFont="1" applyFill="1" applyBorder="1" applyAlignment="1" applyProtection="1">
      <alignment horizontal="left" vertical="center"/>
      <protection locked="0"/>
    </xf>
    <xf numFmtId="0" fontId="2" fillId="0" borderId="2"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2" fontId="1" fillId="0" borderId="9" xfId="0" applyNumberFormat="1" applyFont="1" applyBorder="1" applyAlignment="1" applyProtection="1">
      <alignment horizontal="center" vertical="center"/>
    </xf>
    <xf numFmtId="2" fontId="1" fillId="0" borderId="4" xfId="0" applyNumberFormat="1" applyFont="1" applyBorder="1" applyAlignment="1" applyProtection="1">
      <alignment horizontal="center" vertical="center"/>
    </xf>
    <xf numFmtId="2" fontId="1" fillId="0" borderId="10" xfId="0" applyNumberFormat="1" applyFont="1" applyBorder="1" applyAlignment="1" applyProtection="1">
      <alignment horizontal="center" vertical="center"/>
    </xf>
    <xf numFmtId="2" fontId="1" fillId="0" borderId="11" xfId="0" applyNumberFormat="1" applyFont="1" applyBorder="1" applyAlignment="1" applyProtection="1">
      <alignment horizontal="center" vertical="center"/>
    </xf>
    <xf numFmtId="2" fontId="1" fillId="0" borderId="7" xfId="0" applyNumberFormat="1" applyFont="1" applyBorder="1" applyAlignment="1" applyProtection="1">
      <alignment horizontal="center" vertical="center"/>
    </xf>
    <xf numFmtId="2" fontId="1" fillId="0" borderId="8" xfId="0" applyNumberFormat="1" applyFont="1" applyBorder="1" applyAlignment="1" applyProtection="1">
      <alignment horizontal="center" vertical="center"/>
    </xf>
    <xf numFmtId="0" fontId="16" fillId="3" borderId="2" xfId="0" applyFont="1" applyFill="1" applyBorder="1" applyAlignment="1" applyProtection="1">
      <alignment horizontal="left" vertical="center" wrapText="1"/>
      <protection locked="0"/>
    </xf>
    <xf numFmtId="0" fontId="16" fillId="3" borderId="5" xfId="0" applyFont="1" applyFill="1" applyBorder="1" applyAlignment="1" applyProtection="1">
      <alignment horizontal="left" vertical="center" wrapText="1"/>
      <protection locked="0"/>
    </xf>
    <xf numFmtId="0" fontId="16" fillId="3" borderId="6"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2" fillId="0" borderId="1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 xfId="0" applyFont="1" applyBorder="1" applyAlignment="1">
      <alignment horizontal="center" vertical="center"/>
    </xf>
    <xf numFmtId="1" fontId="1" fillId="3" borderId="2" xfId="0" applyNumberFormat="1" applyFont="1" applyFill="1" applyBorder="1" applyAlignment="1" applyProtection="1">
      <alignment horizontal="left" vertical="center" wrapText="1"/>
      <protection locked="0"/>
    </xf>
    <xf numFmtId="1" fontId="1" fillId="3" borderId="5" xfId="0" applyNumberFormat="1" applyFont="1" applyFill="1" applyBorder="1" applyAlignment="1" applyProtection="1">
      <alignment horizontal="left" vertical="center" wrapText="1"/>
      <protection locked="0"/>
    </xf>
    <xf numFmtId="1" fontId="1" fillId="3" borderId="6" xfId="0" applyNumberFormat="1" applyFont="1" applyFill="1" applyBorder="1" applyAlignment="1" applyProtection="1">
      <alignment horizontal="left" vertical="center" wrapText="1"/>
      <protection locked="0"/>
    </xf>
    <xf numFmtId="0" fontId="2" fillId="0" borderId="1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0" xfId="0" applyFont="1" applyAlignment="1" applyProtection="1">
      <alignment vertical="center"/>
      <protection locked="0"/>
    </xf>
    <xf numFmtId="0" fontId="1" fillId="0" borderId="14" xfId="0" applyFont="1" applyBorder="1" applyAlignment="1" applyProtection="1">
      <protection locked="0"/>
    </xf>
    <xf numFmtId="0" fontId="1" fillId="0" borderId="0" xfId="0" applyFont="1" applyBorder="1" applyAlignment="1" applyProtection="1">
      <protection locked="0"/>
    </xf>
    <xf numFmtId="0" fontId="1" fillId="0" borderId="14" xfId="0" applyFont="1" applyBorder="1" applyAlignment="1" applyProtection="1">
      <alignment wrapText="1"/>
    </xf>
    <xf numFmtId="0" fontId="1" fillId="0" borderId="0" xfId="0" applyFont="1" applyBorder="1" applyAlignment="1" applyProtection="1">
      <alignment wrapText="1"/>
    </xf>
    <xf numFmtId="0" fontId="1" fillId="0" borderId="7" xfId="0" applyFont="1" applyBorder="1" applyAlignment="1" applyProtection="1">
      <protection locked="0"/>
    </xf>
    <xf numFmtId="0" fontId="1" fillId="0" borderId="8" xfId="0" applyFont="1" applyBorder="1" applyAlignment="1" applyProtection="1">
      <protection locked="0"/>
    </xf>
    <xf numFmtId="0" fontId="12" fillId="3" borderId="2" xfId="0" applyFont="1" applyFill="1" applyBorder="1" applyAlignment="1" applyProtection="1">
      <alignment horizontal="left" vertical="center" wrapText="1"/>
      <protection locked="0"/>
    </xf>
    <xf numFmtId="0" fontId="12" fillId="3" borderId="5" xfId="0" applyFont="1" applyFill="1" applyBorder="1" applyAlignment="1" applyProtection="1">
      <alignment horizontal="left" vertical="center" wrapText="1"/>
      <protection locked="0"/>
    </xf>
    <xf numFmtId="0" fontId="12" fillId="3" borderId="6" xfId="0" applyFont="1" applyFill="1" applyBorder="1" applyAlignment="1" applyProtection="1">
      <alignment horizontal="left" vertical="center" wrapText="1"/>
      <protection locked="0"/>
    </xf>
    <xf numFmtId="1" fontId="2" fillId="0" borderId="2" xfId="0" applyNumberFormat="1"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1" fontId="2" fillId="0" borderId="6" xfId="0" applyNumberFormat="1" applyFont="1" applyBorder="1" applyAlignment="1" applyProtection="1">
      <alignment horizontal="center" vertical="center"/>
    </xf>
    <xf numFmtId="1" fontId="2" fillId="0" borderId="2" xfId="0" applyNumberFormat="1" applyFont="1" applyBorder="1" applyAlignment="1" applyProtection="1">
      <alignment horizontal="center"/>
    </xf>
    <xf numFmtId="1" fontId="2" fillId="0" borderId="5" xfId="0" applyNumberFormat="1" applyFont="1" applyBorder="1" applyAlignment="1" applyProtection="1">
      <alignment horizontal="center"/>
    </xf>
    <xf numFmtId="1" fontId="2" fillId="0" borderId="6" xfId="0" applyNumberFormat="1" applyFont="1" applyBorder="1" applyAlignment="1" applyProtection="1">
      <alignment horizontal="center"/>
    </xf>
    <xf numFmtId="0" fontId="1" fillId="4" borderId="14" xfId="0" applyFont="1" applyFill="1" applyBorder="1" applyAlignment="1" applyProtection="1">
      <alignment wrapText="1"/>
    </xf>
    <xf numFmtId="0" fontId="1" fillId="4" borderId="0" xfId="0" applyFont="1" applyFill="1" applyBorder="1" applyAlignment="1" applyProtection="1">
      <alignment wrapText="1"/>
    </xf>
    <xf numFmtId="0" fontId="1" fillId="0" borderId="0" xfId="0" applyFont="1" applyAlignment="1" applyProtection="1">
      <alignment wrapText="1"/>
    </xf>
    <xf numFmtId="0" fontId="10" fillId="5" borderId="0" xfId="0" applyFont="1" applyFill="1" applyAlignment="1" applyProtection="1">
      <alignment vertical="center" wrapText="1"/>
      <protection locked="0"/>
    </xf>
    <xf numFmtId="0" fontId="11" fillId="0" borderId="0" xfId="0" applyFont="1" applyAlignment="1"/>
    <xf numFmtId="0" fontId="11" fillId="5" borderId="0" xfId="0" applyFont="1" applyFill="1" applyAlignment="1">
      <alignment vertical="center" wrapText="1"/>
    </xf>
    <xf numFmtId="0" fontId="2" fillId="6" borderId="0" xfId="0" applyFont="1" applyFill="1" applyAlignment="1" applyProtection="1">
      <alignment horizontal="left" vertical="top" wrapText="1"/>
      <protection locked="0"/>
    </xf>
    <xf numFmtId="0" fontId="10" fillId="6" borderId="0" xfId="0" applyFont="1" applyFill="1" applyAlignment="1" applyProtection="1">
      <alignment wrapText="1"/>
      <protection locked="0"/>
    </xf>
    <xf numFmtId="0" fontId="0" fillId="6" borderId="0" xfId="0" applyFill="1" applyAlignment="1">
      <alignment wrapText="1"/>
    </xf>
    <xf numFmtId="0" fontId="0" fillId="0" borderId="0" xfId="0" applyAlignment="1">
      <alignment wrapText="1"/>
    </xf>
    <xf numFmtId="0" fontId="12" fillId="0" borderId="0" xfId="0" applyFont="1" applyAlignment="1" applyProtection="1">
      <protection locked="0"/>
    </xf>
    <xf numFmtId="0" fontId="0" fillId="0" borderId="0" xfId="0" applyAlignment="1"/>
    <xf numFmtId="0" fontId="13" fillId="6" borderId="0" xfId="0" applyFont="1" applyFill="1" applyAlignment="1" applyProtection="1">
      <alignment vertical="center" wrapText="1"/>
      <protection locked="0"/>
    </xf>
    <xf numFmtId="0" fontId="14" fillId="6" borderId="0" xfId="0" applyFont="1" applyFill="1" applyAlignment="1">
      <alignment vertical="center" wrapText="1"/>
    </xf>
    <xf numFmtId="0" fontId="14" fillId="6" borderId="0" xfId="0" applyFont="1" applyFill="1" applyAlignment="1">
      <alignment wrapText="1"/>
    </xf>
    <xf numFmtId="0" fontId="2" fillId="0" borderId="7" xfId="0" applyFont="1" applyBorder="1" applyAlignment="1" applyProtection="1">
      <protection locked="0"/>
    </xf>
    <xf numFmtId="0" fontId="2" fillId="0" borderId="0" xfId="0" applyFont="1" applyAlignment="1" applyProtection="1">
      <alignment horizontal="left" vertical="center"/>
      <protection locked="0"/>
    </xf>
    <xf numFmtId="0" fontId="1" fillId="7" borderId="0" xfId="0" applyFont="1" applyFill="1" applyAlignment="1" applyProtection="1">
      <alignment horizontal="left" vertical="center" wrapText="1"/>
      <protection locked="0"/>
    </xf>
    <xf numFmtId="0" fontId="1" fillId="3" borderId="2"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1" fillId="0" borderId="0" xfId="0" applyFont="1" applyAlignment="1" applyProtection="1">
      <alignment vertical="center"/>
      <protection locked="0"/>
    </xf>
    <xf numFmtId="0" fontId="2" fillId="0" borderId="4" xfId="0" applyFont="1" applyBorder="1" applyAlignment="1" applyProtection="1">
      <alignment horizontal="left" vertical="center" wrapText="1"/>
      <protection locked="0"/>
    </xf>
    <xf numFmtId="0" fontId="1" fillId="7" borderId="0" xfId="0" applyFont="1" applyFill="1" applyAlignment="1" applyProtection="1">
      <alignment vertical="center" wrapText="1"/>
      <protection locked="0"/>
    </xf>
    <xf numFmtId="0" fontId="1" fillId="7" borderId="0" xfId="0" applyFont="1" applyFill="1" applyAlignment="1" applyProtection="1">
      <alignment vertical="center"/>
      <protection locked="0"/>
    </xf>
    <xf numFmtId="0" fontId="2" fillId="0" borderId="0" xfId="0" applyFont="1" applyFill="1" applyBorder="1" applyAlignment="1" applyProtection="1">
      <alignment vertical="center" wrapText="1"/>
      <protection locked="0"/>
    </xf>
    <xf numFmtId="0" fontId="1" fillId="0" borderId="0"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7" fillId="0" borderId="0" xfId="0" applyFont="1" applyAlignment="1" applyProtection="1">
      <alignment vertical="top" wrapText="1"/>
      <protection locked="0"/>
    </xf>
    <xf numFmtId="0" fontId="1" fillId="0" borderId="0" xfId="0" applyFont="1" applyFill="1" applyBorder="1" applyAlignment="1" applyProtection="1">
      <alignment horizontal="left" vertical="top"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protection locked="0"/>
    </xf>
    <xf numFmtId="0" fontId="2" fillId="7" borderId="0" xfId="0" applyFont="1" applyFill="1" applyAlignment="1" applyProtection="1">
      <alignment horizontal="left" vertical="center" wrapText="1"/>
      <protection locked="0"/>
    </xf>
    <xf numFmtId="0" fontId="4"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 fillId="0" borderId="2"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2" fontId="1" fillId="0" borderId="9" xfId="0" applyNumberFormat="1" applyFont="1" applyBorder="1" applyAlignment="1">
      <alignment horizontal="center" vertical="center"/>
    </xf>
    <xf numFmtId="2" fontId="1" fillId="0" borderId="4" xfId="0" applyNumberFormat="1" applyFont="1" applyBorder="1" applyAlignment="1">
      <alignment horizontal="center" vertical="center"/>
    </xf>
    <xf numFmtId="2" fontId="1" fillId="0" borderId="10" xfId="0" applyNumberFormat="1" applyFont="1" applyBorder="1" applyAlignment="1">
      <alignment horizontal="center" vertical="center"/>
    </xf>
    <xf numFmtId="2" fontId="1" fillId="0" borderId="11" xfId="0" applyNumberFormat="1" applyFont="1" applyBorder="1" applyAlignment="1">
      <alignment horizontal="center" vertical="center"/>
    </xf>
    <xf numFmtId="2" fontId="1" fillId="0" borderId="7" xfId="0" applyNumberFormat="1" applyFont="1" applyBorder="1" applyAlignment="1">
      <alignment horizontal="center" vertical="center"/>
    </xf>
    <xf numFmtId="2" fontId="1" fillId="0" borderId="8" xfId="0" applyNumberFormat="1" applyFont="1" applyBorder="1" applyAlignment="1">
      <alignment horizontal="center" vertical="center"/>
    </xf>
    <xf numFmtId="1" fontId="2" fillId="0" borderId="2" xfId="0" applyNumberFormat="1" applyFont="1" applyBorder="1" applyAlignment="1">
      <alignment horizontal="center" vertical="center"/>
    </xf>
    <xf numFmtId="1" fontId="2" fillId="0" borderId="5" xfId="0" applyNumberFormat="1" applyFont="1" applyBorder="1" applyAlignment="1">
      <alignment horizontal="center" vertical="center"/>
    </xf>
    <xf numFmtId="1" fontId="2" fillId="0" borderId="6" xfId="0" applyNumberFormat="1" applyFont="1" applyBorder="1" applyAlignment="1">
      <alignment horizontal="center" vertical="center"/>
    </xf>
    <xf numFmtId="1" fontId="2" fillId="0" borderId="2" xfId="0" applyNumberFormat="1" applyFont="1" applyBorder="1" applyAlignment="1">
      <alignment horizontal="center"/>
    </xf>
    <xf numFmtId="1" fontId="2" fillId="0" borderId="5" xfId="0" applyNumberFormat="1" applyFont="1" applyBorder="1" applyAlignment="1">
      <alignment horizontal="center"/>
    </xf>
    <xf numFmtId="1" fontId="2" fillId="0" borderId="6" xfId="0" applyNumberFormat="1" applyFont="1" applyBorder="1" applyAlignment="1">
      <alignment horizontal="center"/>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1" fillId="0" borderId="1" xfId="0" applyFont="1" applyBorder="1" applyAlignment="1">
      <alignment horizontal="center" vertical="center"/>
    </xf>
    <xf numFmtId="9" fontId="9" fillId="0" borderId="2" xfId="0" applyNumberFormat="1" applyFont="1" applyBorder="1" applyAlignment="1" applyProtection="1">
      <alignment horizontal="center"/>
    </xf>
    <xf numFmtId="9" fontId="9" fillId="0" borderId="6" xfId="0" applyNumberFormat="1" applyFont="1" applyBorder="1" applyAlignment="1" applyProtection="1">
      <alignment horizontal="center"/>
    </xf>
    <xf numFmtId="0" fontId="1" fillId="2" borderId="2"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2"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1" fontId="12" fillId="3" borderId="2" xfId="0" applyNumberFormat="1" applyFont="1" applyFill="1" applyBorder="1" applyAlignment="1" applyProtection="1">
      <alignment horizontal="left" vertical="center" wrapText="1"/>
      <protection locked="0"/>
    </xf>
    <xf numFmtId="1" fontId="12" fillId="3" borderId="5" xfId="0" applyNumberFormat="1" applyFont="1" applyFill="1" applyBorder="1" applyAlignment="1" applyProtection="1">
      <alignment horizontal="left" vertical="center" wrapText="1"/>
      <protection locked="0"/>
    </xf>
    <xf numFmtId="1" fontId="12" fillId="3" borderId="6" xfId="0" applyNumberFormat="1" applyFont="1" applyFill="1" applyBorder="1" applyAlignment="1" applyProtection="1">
      <alignment horizontal="left" vertical="center" wrapText="1"/>
      <protection locked="0"/>
    </xf>
    <xf numFmtId="0" fontId="8" fillId="0" borderId="3"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9" fontId="8" fillId="0" borderId="2" xfId="0" applyNumberFormat="1" applyFont="1" applyBorder="1" applyAlignment="1" applyProtection="1">
      <alignment horizontal="center" vertical="center"/>
    </xf>
    <xf numFmtId="9" fontId="8" fillId="0" borderId="6" xfId="0" applyNumberFormat="1"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6"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2" xfId="0" applyFont="1" applyFill="1" applyBorder="1" applyAlignment="1" applyProtection="1">
      <alignment horizontal="center"/>
    </xf>
    <xf numFmtId="0" fontId="1" fillId="0" borderId="6" xfId="0" applyFont="1" applyFill="1" applyBorder="1" applyAlignment="1" applyProtection="1">
      <alignment horizontal="center"/>
    </xf>
    <xf numFmtId="0" fontId="9" fillId="0" borderId="2" xfId="0" applyFont="1" applyBorder="1" applyAlignment="1" applyProtection="1">
      <alignment horizontal="center" vertical="center"/>
    </xf>
    <xf numFmtId="0" fontId="9" fillId="0" borderId="6" xfId="0" applyFont="1" applyBorder="1" applyAlignment="1" applyProtection="1">
      <alignment horizontal="center" vertical="center"/>
    </xf>
    <xf numFmtId="1" fontId="1" fillId="0" borderId="2" xfId="0" applyNumberFormat="1"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1" fontId="1" fillId="0" borderId="2" xfId="0" applyNumberFormat="1" applyFont="1" applyFill="1" applyBorder="1" applyAlignment="1" applyProtection="1">
      <alignment horizontal="center"/>
    </xf>
  </cellXfs>
  <cellStyles count="3">
    <cellStyle name="Normál" xfId="0" builtinId="0"/>
    <cellStyle name="Rossz" xfId="2" builtinId="27"/>
    <cellStyle name="Százalék" xfId="1" builtinId="5"/>
  </cellStyles>
  <dxfs count="24">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205"/>
  <sheetViews>
    <sheetView tabSelected="1" topLeftCell="A202" zoomScalePageLayoutView="80" workbookViewId="0">
      <selection activeCell="U43" sqref="U43"/>
    </sheetView>
  </sheetViews>
  <sheetFormatPr defaultColWidth="9.140625" defaultRowHeight="12.75"/>
  <cols>
    <col min="1" max="1" width="9.28515625" style="1" customWidth="1"/>
    <col min="2" max="2" width="7.140625" style="1" customWidth="1"/>
    <col min="3" max="3" width="7.28515625" style="1" customWidth="1"/>
    <col min="4" max="5" width="4.7109375" style="1" customWidth="1"/>
    <col min="6" max="6" width="4.5703125" style="1" customWidth="1"/>
    <col min="7" max="7" width="8.140625" style="1" customWidth="1"/>
    <col min="8" max="8" width="8.28515625" style="1" customWidth="1"/>
    <col min="9" max="9" width="5.85546875" style="1" customWidth="1"/>
    <col min="10" max="10" width="7.28515625" style="1" customWidth="1"/>
    <col min="11" max="11" width="5.7109375" style="1" customWidth="1"/>
    <col min="12" max="12" width="6.140625" style="1" customWidth="1"/>
    <col min="13" max="13" width="5.5703125" style="1" customWidth="1"/>
    <col min="14" max="18" width="6" style="1" customWidth="1"/>
    <col min="19" max="19" width="6.140625" style="1" customWidth="1"/>
    <col min="20" max="20" width="9.28515625" style="1" customWidth="1"/>
    <col min="21" max="21" width="43" style="1" customWidth="1"/>
    <col min="22" max="22" width="19.85546875" style="39" hidden="1" customWidth="1"/>
    <col min="23" max="25" width="9.140625" style="1"/>
    <col min="26" max="26" width="11" style="1" customWidth="1"/>
    <col min="27" max="16384" width="9.140625" style="1"/>
  </cols>
  <sheetData>
    <row r="1" spans="1:27" ht="15.75" customHeight="1">
      <c r="A1" s="185" t="s">
        <v>0</v>
      </c>
      <c r="B1" s="185"/>
      <c r="C1" s="185"/>
      <c r="D1" s="185"/>
      <c r="E1" s="185"/>
      <c r="F1" s="185"/>
      <c r="G1" s="185"/>
      <c r="H1" s="185"/>
      <c r="I1" s="185"/>
      <c r="J1" s="185"/>
      <c r="K1" s="185"/>
      <c r="L1" s="44"/>
      <c r="M1" s="203" t="s">
        <v>1</v>
      </c>
      <c r="N1" s="203"/>
      <c r="O1" s="203"/>
      <c r="P1" s="203"/>
      <c r="Q1" s="203"/>
      <c r="R1" s="203"/>
      <c r="S1" s="203"/>
      <c r="T1" s="203"/>
      <c r="U1" s="44"/>
      <c r="V1" s="44"/>
      <c r="W1" s="44"/>
      <c r="X1" s="44"/>
      <c r="Y1" s="44"/>
      <c r="Z1" s="44"/>
      <c r="AA1" s="44"/>
    </row>
    <row r="2" spans="1:27" ht="6.75" customHeight="1">
      <c r="A2" s="185"/>
      <c r="B2" s="185"/>
      <c r="C2" s="185"/>
      <c r="D2" s="185"/>
      <c r="E2" s="185"/>
      <c r="F2" s="185"/>
      <c r="G2" s="185"/>
      <c r="H2" s="185"/>
      <c r="I2" s="185"/>
      <c r="J2" s="185"/>
      <c r="K2" s="185"/>
      <c r="L2" s="44"/>
      <c r="M2" s="44"/>
      <c r="N2" s="44"/>
      <c r="O2" s="44"/>
      <c r="P2" s="44"/>
      <c r="Q2" s="44"/>
      <c r="R2" s="44"/>
      <c r="S2" s="44"/>
      <c r="T2" s="44"/>
      <c r="U2" s="44"/>
      <c r="V2" s="44"/>
      <c r="W2" s="44"/>
      <c r="X2" s="44"/>
      <c r="Y2" s="44"/>
      <c r="Z2" s="44"/>
      <c r="AA2" s="44"/>
    </row>
    <row r="3" spans="1:27" ht="39" customHeight="1">
      <c r="A3" s="202" t="s">
        <v>2</v>
      </c>
      <c r="B3" s="202"/>
      <c r="C3" s="202"/>
      <c r="D3" s="202"/>
      <c r="E3" s="202"/>
      <c r="F3" s="202"/>
      <c r="G3" s="202"/>
      <c r="H3" s="202"/>
      <c r="I3" s="202"/>
      <c r="J3" s="202"/>
      <c r="K3" s="202"/>
      <c r="L3" s="44"/>
      <c r="M3" s="207"/>
      <c r="N3" s="208"/>
      <c r="O3" s="103" t="s">
        <v>3</v>
      </c>
      <c r="P3" s="104"/>
      <c r="Q3" s="105"/>
      <c r="R3" s="103" t="s">
        <v>4</v>
      </c>
      <c r="S3" s="104"/>
      <c r="T3" s="105"/>
      <c r="U3" s="169" t="str">
        <f>IF(O4&gt;=12,"Corect","Trebuie alocate cel puțin 12 de ore pe săptămână")</f>
        <v>Corect</v>
      </c>
      <c r="V3" s="170"/>
      <c r="W3" s="170"/>
      <c r="X3" s="44"/>
      <c r="Y3" s="44"/>
      <c r="Z3" s="44"/>
      <c r="AA3" s="44"/>
    </row>
    <row r="4" spans="1:27" ht="17.25" customHeight="1">
      <c r="A4" s="204"/>
      <c r="B4" s="204"/>
      <c r="C4" s="204"/>
      <c r="D4" s="204"/>
      <c r="E4" s="204"/>
      <c r="F4" s="204"/>
      <c r="G4" s="204"/>
      <c r="H4" s="204"/>
      <c r="I4" s="204"/>
      <c r="J4" s="204"/>
      <c r="K4" s="204"/>
      <c r="L4" s="44"/>
      <c r="M4" s="191" t="s">
        <v>5</v>
      </c>
      <c r="N4" s="192"/>
      <c r="O4" s="187">
        <f>N46</f>
        <v>20</v>
      </c>
      <c r="P4" s="188"/>
      <c r="Q4" s="189"/>
      <c r="R4" s="187">
        <f>N57</f>
        <v>21</v>
      </c>
      <c r="S4" s="188"/>
      <c r="T4" s="189"/>
      <c r="U4" s="169" t="str">
        <f>IF(R4&gt;=12,"Corect","Trebuie alocate cel puțin 12 de ore pe săptămână")</f>
        <v>Corect</v>
      </c>
      <c r="V4" s="170"/>
      <c r="W4" s="170"/>
      <c r="X4" s="44"/>
      <c r="Y4" s="44"/>
      <c r="Z4" s="44"/>
      <c r="AA4" s="44"/>
    </row>
    <row r="5" spans="1:27" ht="16.5" customHeight="1">
      <c r="A5" s="204"/>
      <c r="B5" s="204"/>
      <c r="C5" s="204"/>
      <c r="D5" s="204"/>
      <c r="E5" s="204"/>
      <c r="F5" s="204"/>
      <c r="G5" s="204"/>
      <c r="H5" s="204"/>
      <c r="I5" s="204"/>
      <c r="J5" s="204"/>
      <c r="K5" s="204"/>
      <c r="L5" s="44"/>
      <c r="M5" s="191" t="s">
        <v>6</v>
      </c>
      <c r="N5" s="192"/>
      <c r="O5" s="187">
        <f>N70</f>
        <v>21</v>
      </c>
      <c r="P5" s="188"/>
      <c r="Q5" s="189"/>
      <c r="R5" s="187">
        <f>N79</f>
        <v>19</v>
      </c>
      <c r="S5" s="188"/>
      <c r="T5" s="189"/>
      <c r="U5" s="169" t="str">
        <f>IF(O5&gt;=12,"Corect","Trebuie alocate cel puțin 12 de ore pe săptămână")</f>
        <v>Corect</v>
      </c>
      <c r="V5" s="170"/>
      <c r="W5" s="170"/>
      <c r="X5" s="44"/>
      <c r="Y5" s="44"/>
      <c r="Z5" s="44"/>
      <c r="AA5" s="44"/>
    </row>
    <row r="6" spans="1:27" ht="15" customHeight="1">
      <c r="A6" s="186" t="s">
        <v>7</v>
      </c>
      <c r="B6" s="186"/>
      <c r="C6" s="186"/>
      <c r="D6" s="186"/>
      <c r="E6" s="186"/>
      <c r="F6" s="186"/>
      <c r="G6" s="186"/>
      <c r="H6" s="186"/>
      <c r="I6" s="186"/>
      <c r="J6" s="186"/>
      <c r="K6" s="186"/>
      <c r="L6" s="44"/>
      <c r="M6" s="194"/>
      <c r="N6" s="194"/>
      <c r="O6" s="190"/>
      <c r="P6" s="190"/>
      <c r="Q6" s="190"/>
      <c r="R6" s="190"/>
      <c r="S6" s="190"/>
      <c r="T6" s="190"/>
      <c r="U6" s="169" t="str">
        <f>IF(R5&gt;=12,"Corect","Trebuie alocate cel puțin 12 de ore pe săptămână")</f>
        <v>Corect</v>
      </c>
      <c r="V6" s="170"/>
      <c r="W6" s="170"/>
      <c r="X6" s="44"/>
      <c r="Y6" s="44"/>
      <c r="Z6" s="44"/>
      <c r="AA6" s="44"/>
    </row>
    <row r="7" spans="1:27" ht="42.75" customHeight="1">
      <c r="A7" s="195" t="s">
        <v>8</v>
      </c>
      <c r="B7" s="195"/>
      <c r="C7" s="195"/>
      <c r="D7" s="195"/>
      <c r="E7" s="195"/>
      <c r="F7" s="195"/>
      <c r="G7" s="195"/>
      <c r="H7" s="195"/>
      <c r="I7" s="195"/>
      <c r="J7" s="195"/>
      <c r="K7" s="195"/>
      <c r="L7" s="44"/>
      <c r="M7" s="44"/>
      <c r="N7" s="44"/>
      <c r="O7" s="44"/>
      <c r="P7" s="44"/>
      <c r="Q7" s="44"/>
      <c r="R7" s="44"/>
      <c r="S7" s="44"/>
      <c r="T7" s="44"/>
      <c r="U7" s="44"/>
      <c r="V7" s="44"/>
      <c r="W7" s="44"/>
      <c r="X7" s="44"/>
      <c r="Y7" s="44"/>
      <c r="Z7" s="44"/>
      <c r="AA7" s="44"/>
    </row>
    <row r="8" spans="1:27" ht="18.75" customHeight="1">
      <c r="A8" s="196" t="s">
        <v>9</v>
      </c>
      <c r="B8" s="196"/>
      <c r="C8" s="196"/>
      <c r="D8" s="196"/>
      <c r="E8" s="196"/>
      <c r="F8" s="196"/>
      <c r="G8" s="196"/>
      <c r="H8" s="196"/>
      <c r="I8" s="196"/>
      <c r="J8" s="196"/>
      <c r="K8" s="196"/>
      <c r="L8" s="44"/>
      <c r="M8" s="199" t="s">
        <v>10</v>
      </c>
      <c r="N8" s="199"/>
      <c r="O8" s="199"/>
      <c r="P8" s="199"/>
      <c r="Q8" s="199"/>
      <c r="R8" s="199"/>
      <c r="S8" s="199"/>
      <c r="T8" s="199"/>
      <c r="U8" s="44"/>
      <c r="V8" s="44"/>
      <c r="W8" s="44"/>
      <c r="X8" s="44"/>
      <c r="Y8" s="44"/>
      <c r="Z8" s="44"/>
      <c r="AA8" s="44"/>
    </row>
    <row r="9" spans="1:27" ht="15" customHeight="1">
      <c r="A9" s="193" t="s">
        <v>11</v>
      </c>
      <c r="B9" s="193"/>
      <c r="C9" s="193"/>
      <c r="D9" s="193"/>
      <c r="E9" s="193"/>
      <c r="F9" s="193"/>
      <c r="G9" s="193"/>
      <c r="H9" s="193"/>
      <c r="I9" s="193"/>
      <c r="J9" s="193"/>
      <c r="K9" s="193"/>
      <c r="L9" s="44"/>
      <c r="M9" s="199"/>
      <c r="N9" s="199"/>
      <c r="O9" s="199"/>
      <c r="P9" s="199"/>
      <c r="Q9" s="199"/>
      <c r="R9" s="199"/>
      <c r="S9" s="199"/>
      <c r="T9" s="199"/>
      <c r="U9" s="172" t="s">
        <v>12</v>
      </c>
      <c r="V9" s="172"/>
      <c r="W9" s="173"/>
      <c r="X9" s="173"/>
      <c r="Y9" s="173"/>
      <c r="Z9" s="44"/>
      <c r="AA9" s="44"/>
    </row>
    <row r="10" spans="1:27" ht="16.5" customHeight="1">
      <c r="A10" s="193" t="s">
        <v>13</v>
      </c>
      <c r="B10" s="193"/>
      <c r="C10" s="193"/>
      <c r="D10" s="193"/>
      <c r="E10" s="193"/>
      <c r="F10" s="193"/>
      <c r="G10" s="193"/>
      <c r="H10" s="193"/>
      <c r="I10" s="193"/>
      <c r="J10" s="193"/>
      <c r="K10" s="193"/>
      <c r="L10" s="44"/>
      <c r="M10" s="199"/>
      <c r="N10" s="199"/>
      <c r="O10" s="199"/>
      <c r="P10" s="199"/>
      <c r="Q10" s="199"/>
      <c r="R10" s="199"/>
      <c r="S10" s="199"/>
      <c r="T10" s="199"/>
      <c r="U10" s="174"/>
      <c r="V10" s="174"/>
      <c r="W10" s="173"/>
      <c r="X10" s="173"/>
      <c r="Y10" s="173"/>
      <c r="Z10" s="44"/>
      <c r="AA10" s="44"/>
    </row>
    <row r="11" spans="1:27">
      <c r="A11" s="193" t="s">
        <v>14</v>
      </c>
      <c r="B11" s="193"/>
      <c r="C11" s="193"/>
      <c r="D11" s="193"/>
      <c r="E11" s="193"/>
      <c r="F11" s="193"/>
      <c r="G11" s="193"/>
      <c r="H11" s="193"/>
      <c r="I11" s="193"/>
      <c r="J11" s="193"/>
      <c r="K11" s="193"/>
      <c r="L11" s="44"/>
      <c r="M11" s="199"/>
      <c r="N11" s="199"/>
      <c r="O11" s="199"/>
      <c r="P11" s="199"/>
      <c r="Q11" s="199"/>
      <c r="R11" s="199"/>
      <c r="S11" s="199"/>
      <c r="T11" s="199"/>
      <c r="U11" s="174"/>
      <c r="V11" s="174"/>
      <c r="W11" s="173"/>
      <c r="X11" s="173"/>
      <c r="Y11" s="173"/>
      <c r="Z11" s="44"/>
      <c r="AA11" s="44"/>
    </row>
    <row r="12" spans="1:27" ht="10.5" customHeight="1">
      <c r="A12" s="193"/>
      <c r="B12" s="193"/>
      <c r="C12" s="193"/>
      <c r="D12" s="193"/>
      <c r="E12" s="193"/>
      <c r="F12" s="193"/>
      <c r="G12" s="193"/>
      <c r="H12" s="193"/>
      <c r="I12" s="193"/>
      <c r="J12" s="193"/>
      <c r="K12" s="193"/>
      <c r="L12" s="44"/>
      <c r="M12" s="85"/>
      <c r="N12" s="85"/>
      <c r="O12" s="85"/>
      <c r="P12" s="85"/>
      <c r="Q12" s="85"/>
      <c r="R12" s="85"/>
      <c r="S12" s="44"/>
      <c r="T12" s="44"/>
      <c r="U12" s="174"/>
      <c r="V12" s="174"/>
      <c r="W12" s="173"/>
      <c r="X12" s="173"/>
      <c r="Y12" s="173"/>
      <c r="Z12" s="44"/>
      <c r="AA12" s="44"/>
    </row>
    <row r="13" spans="1:27">
      <c r="A13" s="153" t="s">
        <v>15</v>
      </c>
      <c r="B13" s="153"/>
      <c r="C13" s="153"/>
      <c r="D13" s="153"/>
      <c r="E13" s="153"/>
      <c r="F13" s="153"/>
      <c r="G13" s="153"/>
      <c r="H13" s="153"/>
      <c r="I13" s="153"/>
      <c r="J13" s="153"/>
      <c r="K13" s="153"/>
      <c r="L13" s="44"/>
      <c r="M13" s="197" t="s">
        <v>16</v>
      </c>
      <c r="N13" s="197"/>
      <c r="O13" s="197"/>
      <c r="P13" s="197"/>
      <c r="Q13" s="197"/>
      <c r="R13" s="197"/>
      <c r="S13" s="197"/>
      <c r="T13" s="197"/>
      <c r="U13" s="44"/>
      <c r="V13" s="44"/>
      <c r="W13" s="44"/>
      <c r="X13" s="44"/>
      <c r="Y13" s="44"/>
      <c r="Z13" s="44"/>
      <c r="AA13" s="44"/>
    </row>
    <row r="14" spans="1:27" ht="12.75" customHeight="1">
      <c r="A14" s="153" t="s">
        <v>17</v>
      </c>
      <c r="B14" s="153"/>
      <c r="C14" s="153"/>
      <c r="D14" s="153"/>
      <c r="E14" s="153"/>
      <c r="F14" s="153"/>
      <c r="G14" s="153"/>
      <c r="H14" s="153"/>
      <c r="I14" s="153"/>
      <c r="J14" s="153"/>
      <c r="K14" s="153"/>
      <c r="L14" s="44"/>
      <c r="M14" s="198" t="s">
        <v>18</v>
      </c>
      <c r="N14" s="198"/>
      <c r="O14" s="198"/>
      <c r="P14" s="198"/>
      <c r="Q14" s="198"/>
      <c r="R14" s="198"/>
      <c r="S14" s="198"/>
      <c r="T14" s="198"/>
      <c r="U14" s="44"/>
      <c r="V14" s="44"/>
      <c r="W14" s="44"/>
      <c r="X14" s="44"/>
      <c r="Y14" s="44"/>
      <c r="Z14" s="44"/>
      <c r="AA14" s="44"/>
    </row>
    <row r="15" spans="1:27" ht="12.75" customHeight="1">
      <c r="A15" s="196" t="s">
        <v>19</v>
      </c>
      <c r="B15" s="196"/>
      <c r="C15" s="196"/>
      <c r="D15" s="196"/>
      <c r="E15" s="196"/>
      <c r="F15" s="196"/>
      <c r="G15" s="196"/>
      <c r="H15" s="196"/>
      <c r="I15" s="196"/>
      <c r="J15" s="196"/>
      <c r="K15" s="196"/>
      <c r="L15" s="44"/>
      <c r="M15" s="198" t="s">
        <v>20</v>
      </c>
      <c r="N15" s="198"/>
      <c r="O15" s="198"/>
      <c r="P15" s="198"/>
      <c r="Q15" s="198"/>
      <c r="R15" s="198"/>
      <c r="S15" s="198"/>
      <c r="T15" s="198"/>
      <c r="U15" s="175" t="s">
        <v>21</v>
      </c>
      <c r="V15" s="175"/>
      <c r="W15" s="175"/>
      <c r="X15" s="175"/>
      <c r="Y15" s="175"/>
      <c r="Z15" s="44"/>
      <c r="AA15" s="44"/>
    </row>
    <row r="16" spans="1:27" ht="12.75" customHeight="1">
      <c r="A16" s="196" t="s">
        <v>22</v>
      </c>
      <c r="B16" s="196"/>
      <c r="C16" s="196"/>
      <c r="D16" s="196"/>
      <c r="E16" s="196"/>
      <c r="F16" s="196"/>
      <c r="G16" s="196"/>
      <c r="H16" s="196"/>
      <c r="I16" s="196"/>
      <c r="J16" s="196"/>
      <c r="K16" s="196"/>
      <c r="L16" s="44"/>
      <c r="M16" s="198"/>
      <c r="N16" s="198"/>
      <c r="O16" s="198"/>
      <c r="P16" s="198"/>
      <c r="Q16" s="198"/>
      <c r="R16" s="198"/>
      <c r="S16" s="198"/>
      <c r="T16" s="198"/>
      <c r="U16" s="175"/>
      <c r="V16" s="175"/>
      <c r="W16" s="175"/>
      <c r="X16" s="175"/>
      <c r="Y16" s="175"/>
      <c r="Z16" s="179"/>
      <c r="AA16" s="180"/>
    </row>
    <row r="17" spans="1:27" ht="12.75" customHeight="1">
      <c r="A17" s="193" t="s">
        <v>23</v>
      </c>
      <c r="B17" s="193"/>
      <c r="C17" s="193"/>
      <c r="D17" s="193"/>
      <c r="E17" s="193"/>
      <c r="F17" s="193"/>
      <c r="G17" s="193"/>
      <c r="H17" s="193"/>
      <c r="I17" s="193"/>
      <c r="J17" s="193"/>
      <c r="K17" s="193"/>
      <c r="L17" s="44"/>
      <c r="M17" s="201"/>
      <c r="N17" s="201"/>
      <c r="O17" s="201"/>
      <c r="P17" s="201"/>
      <c r="Q17" s="201"/>
      <c r="R17" s="201"/>
      <c r="S17" s="201"/>
      <c r="T17" s="201"/>
      <c r="U17" s="175"/>
      <c r="V17" s="175"/>
      <c r="W17" s="175"/>
      <c r="X17" s="175"/>
      <c r="Y17" s="175"/>
      <c r="Z17" s="44"/>
      <c r="AA17" s="44"/>
    </row>
    <row r="18" spans="1:27" ht="14.25" customHeight="1">
      <c r="A18" s="193" t="s">
        <v>24</v>
      </c>
      <c r="B18" s="193"/>
      <c r="C18" s="193"/>
      <c r="D18" s="193"/>
      <c r="E18" s="193"/>
      <c r="F18" s="193"/>
      <c r="G18" s="193"/>
      <c r="H18" s="193"/>
      <c r="I18" s="193"/>
      <c r="J18" s="193"/>
      <c r="K18" s="193"/>
      <c r="L18" s="44"/>
      <c r="M18" s="201"/>
      <c r="N18" s="201"/>
      <c r="O18" s="201"/>
      <c r="P18" s="201"/>
      <c r="Q18" s="201"/>
      <c r="R18" s="201"/>
      <c r="S18" s="201"/>
      <c r="T18" s="201"/>
      <c r="U18" s="44"/>
      <c r="V18" s="44"/>
      <c r="W18" s="44"/>
      <c r="X18" s="44"/>
      <c r="Y18" s="44"/>
      <c r="Z18" s="44"/>
      <c r="AA18" s="44"/>
    </row>
    <row r="19" spans="1:27" ht="9" customHeight="1">
      <c r="A19" s="193"/>
      <c r="B19" s="193"/>
      <c r="C19" s="193"/>
      <c r="D19" s="193"/>
      <c r="E19" s="193"/>
      <c r="F19" s="193"/>
      <c r="G19" s="193"/>
      <c r="H19" s="193"/>
      <c r="I19" s="193"/>
      <c r="J19" s="193"/>
      <c r="K19" s="193"/>
      <c r="L19" s="44"/>
      <c r="M19" s="201"/>
      <c r="N19" s="201"/>
      <c r="O19" s="201"/>
      <c r="P19" s="201"/>
      <c r="Q19" s="201"/>
      <c r="R19" s="201"/>
      <c r="S19" s="201"/>
      <c r="T19" s="201"/>
      <c r="U19" s="44"/>
      <c r="V19" s="44"/>
      <c r="W19" s="44"/>
      <c r="X19" s="44"/>
      <c r="Y19" s="44"/>
      <c r="Z19" s="44"/>
      <c r="AA19" s="44"/>
    </row>
    <row r="20" spans="1:27" ht="3" customHeight="1">
      <c r="A20" s="199"/>
      <c r="B20" s="199"/>
      <c r="C20" s="199"/>
      <c r="D20" s="199"/>
      <c r="E20" s="199"/>
      <c r="F20" s="199"/>
      <c r="G20" s="199"/>
      <c r="H20" s="199"/>
      <c r="I20" s="199"/>
      <c r="J20" s="199"/>
      <c r="K20" s="199"/>
      <c r="L20" s="44"/>
      <c r="M20" s="85"/>
      <c r="N20" s="85"/>
      <c r="O20" s="85"/>
      <c r="P20" s="85"/>
      <c r="Q20" s="85"/>
      <c r="R20" s="85"/>
      <c r="S20" s="44"/>
      <c r="T20" s="44"/>
      <c r="U20" s="176" t="s">
        <v>25</v>
      </c>
      <c r="V20" s="176"/>
      <c r="W20" s="177"/>
      <c r="X20" s="177"/>
      <c r="Y20" s="177"/>
      <c r="Z20" s="178"/>
      <c r="AA20" s="44"/>
    </row>
    <row r="21" spans="1:27" ht="15" customHeight="1">
      <c r="A21" s="199"/>
      <c r="B21" s="199"/>
      <c r="C21" s="199"/>
      <c r="D21" s="199"/>
      <c r="E21" s="199"/>
      <c r="F21" s="199"/>
      <c r="G21" s="199"/>
      <c r="H21" s="199"/>
      <c r="I21" s="199"/>
      <c r="J21" s="199"/>
      <c r="K21" s="199"/>
      <c r="L21" s="44"/>
      <c r="M21" s="209" t="s">
        <v>26</v>
      </c>
      <c r="N21" s="209"/>
      <c r="O21" s="209"/>
      <c r="P21" s="209"/>
      <c r="Q21" s="209"/>
      <c r="R21" s="209"/>
      <c r="S21" s="209"/>
      <c r="T21" s="209"/>
      <c r="U21" s="178"/>
      <c r="V21" s="178"/>
      <c r="W21" s="178"/>
      <c r="X21" s="178"/>
      <c r="Y21" s="178"/>
      <c r="Z21" s="178"/>
      <c r="AA21" s="44"/>
    </row>
    <row r="22" spans="1:27" ht="15" customHeight="1">
      <c r="A22" s="199"/>
      <c r="B22" s="199"/>
      <c r="C22" s="199"/>
      <c r="D22" s="199"/>
      <c r="E22" s="199"/>
      <c r="F22" s="199"/>
      <c r="G22" s="199"/>
      <c r="H22" s="199"/>
      <c r="I22" s="199"/>
      <c r="J22" s="199"/>
      <c r="K22" s="199"/>
      <c r="L22" s="44"/>
      <c r="M22" s="209"/>
      <c r="N22" s="209"/>
      <c r="O22" s="209"/>
      <c r="P22" s="209"/>
      <c r="Q22" s="209"/>
      <c r="R22" s="209"/>
      <c r="S22" s="209"/>
      <c r="T22" s="209"/>
      <c r="U22" s="178"/>
      <c r="V22" s="178"/>
      <c r="W22" s="178"/>
      <c r="X22" s="178"/>
      <c r="Y22" s="178"/>
      <c r="Z22" s="178"/>
      <c r="AA22" s="44"/>
    </row>
    <row r="23" spans="1:27" ht="24" customHeight="1">
      <c r="A23" s="199"/>
      <c r="B23" s="199"/>
      <c r="C23" s="199"/>
      <c r="D23" s="199"/>
      <c r="E23" s="199"/>
      <c r="F23" s="199"/>
      <c r="G23" s="199"/>
      <c r="H23" s="199"/>
      <c r="I23" s="199"/>
      <c r="J23" s="199"/>
      <c r="K23" s="199"/>
      <c r="L23" s="44"/>
      <c r="M23" s="209"/>
      <c r="N23" s="209"/>
      <c r="O23" s="209"/>
      <c r="P23" s="209"/>
      <c r="Q23" s="209"/>
      <c r="R23" s="209"/>
      <c r="S23" s="209"/>
      <c r="T23" s="209"/>
      <c r="U23" s="178"/>
      <c r="V23" s="178"/>
      <c r="W23" s="178"/>
      <c r="X23" s="178"/>
      <c r="Y23" s="178"/>
      <c r="Z23" s="178"/>
      <c r="AA23" s="44"/>
    </row>
    <row r="24" spans="1:27" ht="10.5" customHeight="1">
      <c r="A24" s="85"/>
      <c r="B24" s="85"/>
      <c r="C24" s="85"/>
      <c r="D24" s="85"/>
      <c r="E24" s="85"/>
      <c r="F24" s="85"/>
      <c r="G24" s="85"/>
      <c r="H24" s="85"/>
      <c r="I24" s="85"/>
      <c r="J24" s="85"/>
      <c r="K24" s="85"/>
      <c r="L24" s="44"/>
      <c r="M24" s="86"/>
      <c r="N24" s="86"/>
      <c r="O24" s="86"/>
      <c r="P24" s="86"/>
      <c r="Q24" s="86"/>
      <c r="R24" s="86"/>
      <c r="S24" s="44"/>
      <c r="T24" s="44"/>
      <c r="U24" s="44"/>
      <c r="V24" s="44"/>
      <c r="W24" s="44"/>
      <c r="X24" s="44"/>
      <c r="Y24" s="44"/>
      <c r="Z24" s="44"/>
      <c r="AA24" s="44"/>
    </row>
    <row r="25" spans="1:27" ht="12.6" customHeight="1">
      <c r="A25" s="184" t="s">
        <v>27</v>
      </c>
      <c r="B25" s="184"/>
      <c r="C25" s="184"/>
      <c r="D25" s="184"/>
      <c r="E25" s="184"/>
      <c r="F25" s="184"/>
      <c r="G25" s="184"/>
      <c r="H25" s="44"/>
      <c r="I25" s="44"/>
      <c r="J25" s="44"/>
      <c r="K25" s="44"/>
      <c r="L25" s="44"/>
      <c r="M25" s="200" t="s">
        <v>28</v>
      </c>
      <c r="N25" s="200"/>
      <c r="O25" s="200"/>
      <c r="P25" s="200"/>
      <c r="Q25" s="200"/>
      <c r="R25" s="200"/>
      <c r="S25" s="200"/>
      <c r="T25" s="200"/>
      <c r="U25" s="181" t="s">
        <v>29</v>
      </c>
      <c r="V25" s="181"/>
      <c r="W25" s="182"/>
      <c r="X25" s="182"/>
      <c r="Y25" s="182"/>
      <c r="Z25" s="182"/>
      <c r="AA25" s="182"/>
    </row>
    <row r="26" spans="1:27" ht="26.25" customHeight="1">
      <c r="A26" s="2"/>
      <c r="B26" s="103" t="s">
        <v>30</v>
      </c>
      <c r="C26" s="105"/>
      <c r="D26" s="103" t="s">
        <v>31</v>
      </c>
      <c r="E26" s="104"/>
      <c r="F26" s="105"/>
      <c r="G26" s="101" t="s">
        <v>32</v>
      </c>
      <c r="H26" s="101" t="s">
        <v>33</v>
      </c>
      <c r="I26" s="103" t="s">
        <v>34</v>
      </c>
      <c r="J26" s="104"/>
      <c r="K26" s="105"/>
      <c r="L26" s="44"/>
      <c r="M26" s="200"/>
      <c r="N26" s="200"/>
      <c r="O26" s="200"/>
      <c r="P26" s="200"/>
      <c r="Q26" s="200"/>
      <c r="R26" s="200"/>
      <c r="S26" s="200"/>
      <c r="T26" s="200"/>
      <c r="U26" s="182"/>
      <c r="V26" s="182"/>
      <c r="W26" s="182"/>
      <c r="X26" s="182"/>
      <c r="Y26" s="182"/>
      <c r="Z26" s="182"/>
      <c r="AA26" s="182"/>
    </row>
    <row r="27" spans="1:27" ht="14.25" customHeight="1">
      <c r="A27" s="2"/>
      <c r="B27" s="79" t="s">
        <v>35</v>
      </c>
      <c r="C27" s="79" t="s">
        <v>36</v>
      </c>
      <c r="D27" s="79" t="s">
        <v>37</v>
      </c>
      <c r="E27" s="79" t="s">
        <v>38</v>
      </c>
      <c r="F27" s="79" t="s">
        <v>39</v>
      </c>
      <c r="G27" s="102"/>
      <c r="H27" s="102"/>
      <c r="I27" s="80" t="s">
        <v>40</v>
      </c>
      <c r="J27" s="79" t="s">
        <v>41</v>
      </c>
      <c r="K27" s="79" t="s">
        <v>42</v>
      </c>
      <c r="L27" s="44"/>
      <c r="M27" s="200"/>
      <c r="N27" s="200"/>
      <c r="O27" s="200"/>
      <c r="P27" s="200"/>
      <c r="Q27" s="200"/>
      <c r="R27" s="200"/>
      <c r="S27" s="200"/>
      <c r="T27" s="200"/>
      <c r="U27" s="183"/>
      <c r="V27" s="183"/>
      <c r="W27" s="183"/>
      <c r="X27" s="183"/>
      <c r="Y27" s="183"/>
      <c r="Z27" s="183"/>
      <c r="AA27" s="183"/>
    </row>
    <row r="28" spans="1:27" ht="17.25" customHeight="1">
      <c r="A28" s="3" t="s">
        <v>5</v>
      </c>
      <c r="B28" s="4">
        <v>14</v>
      </c>
      <c r="C28" s="4">
        <v>14</v>
      </c>
      <c r="D28" s="19">
        <v>3</v>
      </c>
      <c r="E28" s="19">
        <v>3</v>
      </c>
      <c r="F28" s="19">
        <v>2</v>
      </c>
      <c r="G28" s="19"/>
      <c r="H28" s="27"/>
      <c r="I28" s="19">
        <v>3</v>
      </c>
      <c r="J28" s="19">
        <v>1</v>
      </c>
      <c r="K28" s="19">
        <v>12</v>
      </c>
      <c r="L28" s="44"/>
      <c r="M28" s="200"/>
      <c r="N28" s="200"/>
      <c r="O28" s="200"/>
      <c r="P28" s="200"/>
      <c r="Q28" s="200"/>
      <c r="R28" s="200"/>
      <c r="S28" s="200"/>
      <c r="T28" s="200"/>
      <c r="U28" s="171" t="str">
        <f t="shared" ref="U28" si="0">IF(SUM(B28:K28)=52,"Corect","Suma trebuie să fie 52")</f>
        <v>Corect</v>
      </c>
      <c r="V28" s="171"/>
      <c r="W28" s="44"/>
      <c r="X28" s="44"/>
      <c r="Y28" s="44"/>
      <c r="Z28" s="44"/>
      <c r="AA28" s="44"/>
    </row>
    <row r="29" spans="1:27" ht="15" customHeight="1">
      <c r="A29" s="3" t="s">
        <v>6</v>
      </c>
      <c r="B29" s="4">
        <v>14</v>
      </c>
      <c r="C29" s="4">
        <v>12</v>
      </c>
      <c r="D29" s="19">
        <v>3</v>
      </c>
      <c r="E29" s="19">
        <v>3</v>
      </c>
      <c r="F29" s="19">
        <v>2</v>
      </c>
      <c r="G29" s="19"/>
      <c r="H29" s="19"/>
      <c r="I29" s="19">
        <v>3</v>
      </c>
      <c r="J29" s="19">
        <v>1</v>
      </c>
      <c r="K29" s="19">
        <v>14</v>
      </c>
      <c r="L29" s="44"/>
      <c r="M29" s="200"/>
      <c r="N29" s="200"/>
      <c r="O29" s="200"/>
      <c r="P29" s="200"/>
      <c r="Q29" s="200"/>
      <c r="R29" s="200"/>
      <c r="S29" s="200"/>
      <c r="T29" s="200"/>
      <c r="U29" s="171" t="str">
        <f t="shared" ref="U29" si="1">IF(SUM(B29:K29)=52,"Corect","Suma trebuie să fie 52")</f>
        <v>Corect</v>
      </c>
      <c r="V29" s="171"/>
      <c r="W29" s="44"/>
      <c r="X29" s="44"/>
      <c r="Y29" s="44"/>
      <c r="Z29" s="44"/>
      <c r="AA29" s="44"/>
    </row>
    <row r="30" spans="1:27" ht="15.75" customHeight="1">
      <c r="A30" s="22"/>
      <c r="B30" s="83"/>
      <c r="C30" s="83"/>
      <c r="D30" s="83"/>
      <c r="E30" s="83"/>
      <c r="F30" s="83"/>
      <c r="G30" s="83"/>
      <c r="H30" s="83"/>
      <c r="I30" s="83"/>
      <c r="J30" s="83"/>
      <c r="K30" s="23"/>
      <c r="L30" s="44"/>
      <c r="M30" s="200"/>
      <c r="N30" s="200"/>
      <c r="O30" s="200"/>
      <c r="P30" s="200"/>
      <c r="Q30" s="200"/>
      <c r="R30" s="200"/>
      <c r="S30" s="200"/>
      <c r="T30" s="200"/>
      <c r="U30" s="44"/>
      <c r="V30" s="44"/>
      <c r="W30" s="44"/>
      <c r="X30" s="44"/>
      <c r="Y30" s="44"/>
      <c r="Z30" s="44"/>
      <c r="AA30" s="44"/>
    </row>
    <row r="31" spans="1:27" ht="21" customHeight="1">
      <c r="A31" s="82"/>
      <c r="B31" s="82"/>
      <c r="C31" s="82"/>
      <c r="D31" s="82"/>
      <c r="E31" s="82"/>
      <c r="F31" s="82"/>
      <c r="G31" s="82"/>
      <c r="H31" s="44"/>
      <c r="I31" s="44"/>
      <c r="J31" s="44"/>
      <c r="K31" s="44"/>
      <c r="L31" s="44"/>
      <c r="M31" s="200"/>
      <c r="N31" s="200"/>
      <c r="O31" s="200"/>
      <c r="P31" s="200"/>
      <c r="Q31" s="200"/>
      <c r="R31" s="200"/>
      <c r="S31" s="200"/>
      <c r="T31" s="200"/>
      <c r="U31" s="44"/>
      <c r="V31" s="44"/>
      <c r="W31" s="44"/>
      <c r="X31" s="44"/>
      <c r="Y31" s="44"/>
      <c r="Z31" s="44"/>
      <c r="AA31" s="44"/>
    </row>
    <row r="32" spans="1:27" ht="15" customHeight="1">
      <c r="A32" s="44"/>
      <c r="B32" s="85"/>
      <c r="C32" s="85"/>
      <c r="D32" s="85"/>
      <c r="E32" s="85"/>
      <c r="F32" s="85"/>
      <c r="G32" s="85"/>
      <c r="H32" s="44"/>
      <c r="I32" s="44"/>
      <c r="J32" s="44"/>
      <c r="K32" s="44"/>
      <c r="L32" s="44"/>
      <c r="M32" s="84"/>
      <c r="N32" s="84"/>
      <c r="O32" s="84"/>
      <c r="P32" s="84"/>
      <c r="Q32" s="84"/>
      <c r="R32" s="84"/>
      <c r="S32" s="84"/>
      <c r="T32" s="44"/>
      <c r="U32" s="44"/>
      <c r="V32" s="44"/>
      <c r="W32" s="44"/>
      <c r="X32" s="44"/>
      <c r="Y32" s="44"/>
      <c r="Z32" s="44"/>
      <c r="AA32" s="44"/>
    </row>
    <row r="33" spans="1:22">
      <c r="A33" s="44"/>
      <c r="B33" s="84"/>
      <c r="C33" s="84"/>
      <c r="D33" s="84"/>
      <c r="E33" s="84"/>
      <c r="F33" s="84"/>
      <c r="G33" s="84"/>
      <c r="H33" s="44"/>
      <c r="I33" s="44"/>
      <c r="J33" s="44"/>
      <c r="K33" s="44"/>
      <c r="L33" s="44"/>
      <c r="M33" s="84"/>
      <c r="N33" s="84"/>
      <c r="O33" s="84"/>
      <c r="P33" s="84"/>
      <c r="Q33" s="84"/>
      <c r="R33" s="84"/>
      <c r="S33" s="84"/>
      <c r="T33" s="44"/>
      <c r="U33" s="44"/>
      <c r="V33" s="44"/>
    </row>
    <row r="35" spans="1:22" ht="10.5" customHeight="1">
      <c r="A35" s="205" t="s">
        <v>43</v>
      </c>
      <c r="B35" s="206"/>
      <c r="C35" s="206"/>
      <c r="D35" s="206"/>
      <c r="E35" s="206"/>
      <c r="F35" s="206"/>
      <c r="G35" s="206"/>
      <c r="H35" s="206"/>
      <c r="I35" s="206"/>
      <c r="J35" s="206"/>
      <c r="K35" s="206"/>
      <c r="L35" s="206"/>
      <c r="M35" s="206"/>
      <c r="N35" s="206"/>
      <c r="O35" s="206"/>
      <c r="P35" s="206"/>
      <c r="Q35" s="206"/>
      <c r="R35" s="206"/>
      <c r="S35" s="206"/>
      <c r="T35" s="206"/>
      <c r="U35" s="44"/>
      <c r="V35" s="44"/>
    </row>
    <row r="36" spans="1:22" ht="14.25" customHeight="1">
      <c r="A36" s="44"/>
      <c r="B36" s="44"/>
      <c r="C36" s="44"/>
      <c r="D36" s="44"/>
      <c r="E36" s="44"/>
      <c r="F36" s="44"/>
      <c r="G36" s="44"/>
      <c r="H36" s="44"/>
      <c r="I36" s="44"/>
      <c r="J36" s="44"/>
      <c r="K36" s="44"/>
      <c r="L36" s="44"/>
      <c r="M36" s="44"/>
      <c r="N36" s="5"/>
      <c r="O36" s="6" t="s">
        <v>44</v>
      </c>
      <c r="P36" s="6" t="s">
        <v>45</v>
      </c>
      <c r="Q36" s="6" t="s">
        <v>46</v>
      </c>
      <c r="R36" s="6" t="s">
        <v>47</v>
      </c>
      <c r="S36" s="6" t="s">
        <v>48</v>
      </c>
      <c r="T36" s="6" t="s">
        <v>49</v>
      </c>
      <c r="U36" s="44"/>
      <c r="V36" s="44"/>
    </row>
    <row r="37" spans="1:22" ht="20.25" customHeight="1">
      <c r="A37" s="92" t="s">
        <v>50</v>
      </c>
      <c r="B37" s="92"/>
      <c r="C37" s="92"/>
      <c r="D37" s="92"/>
      <c r="E37" s="92"/>
      <c r="F37" s="92"/>
      <c r="G37" s="92"/>
      <c r="H37" s="92"/>
      <c r="I37" s="92"/>
      <c r="J37" s="92"/>
      <c r="K37" s="92"/>
      <c r="L37" s="92"/>
      <c r="M37" s="92"/>
      <c r="N37" s="92"/>
      <c r="O37" s="92"/>
      <c r="P37" s="92"/>
      <c r="Q37" s="92"/>
      <c r="R37" s="92"/>
      <c r="S37" s="92"/>
      <c r="T37" s="92"/>
      <c r="U37" s="44"/>
      <c r="V37" s="44"/>
    </row>
    <row r="38" spans="1:22" ht="27.75" customHeight="1">
      <c r="A38" s="94" t="s">
        <v>51</v>
      </c>
      <c r="B38" s="96" t="s">
        <v>52</v>
      </c>
      <c r="C38" s="97"/>
      <c r="D38" s="97"/>
      <c r="E38" s="97"/>
      <c r="F38" s="97"/>
      <c r="G38" s="97"/>
      <c r="H38" s="97"/>
      <c r="I38" s="98"/>
      <c r="J38" s="101" t="s">
        <v>53</v>
      </c>
      <c r="K38" s="142" t="s">
        <v>54</v>
      </c>
      <c r="L38" s="143"/>
      <c r="M38" s="144"/>
      <c r="N38" s="142" t="s">
        <v>55</v>
      </c>
      <c r="O38" s="158"/>
      <c r="P38" s="159"/>
      <c r="Q38" s="142" t="s">
        <v>56</v>
      </c>
      <c r="R38" s="143"/>
      <c r="S38" s="144"/>
      <c r="T38" s="149" t="s">
        <v>57</v>
      </c>
      <c r="U38" s="44"/>
      <c r="V38" s="44" t="s">
        <v>58</v>
      </c>
    </row>
    <row r="39" spans="1:22" ht="20.25" customHeight="1">
      <c r="A39" s="95"/>
      <c r="B39" s="99"/>
      <c r="C39" s="93"/>
      <c r="D39" s="93"/>
      <c r="E39" s="93"/>
      <c r="F39" s="93"/>
      <c r="G39" s="93"/>
      <c r="H39" s="93"/>
      <c r="I39" s="100"/>
      <c r="J39" s="102"/>
      <c r="K39" s="79" t="s">
        <v>59</v>
      </c>
      <c r="L39" s="79" t="s">
        <v>60</v>
      </c>
      <c r="M39" s="79" t="s">
        <v>61</v>
      </c>
      <c r="N39" s="79" t="s">
        <v>62</v>
      </c>
      <c r="O39" s="79" t="s">
        <v>37</v>
      </c>
      <c r="P39" s="79" t="s">
        <v>63</v>
      </c>
      <c r="Q39" s="79" t="s">
        <v>64</v>
      </c>
      <c r="R39" s="79" t="s">
        <v>59</v>
      </c>
      <c r="S39" s="79" t="s">
        <v>65</v>
      </c>
      <c r="T39" s="102"/>
      <c r="U39" s="44"/>
      <c r="V39" s="44"/>
    </row>
    <row r="40" spans="1:22" s="54" customFormat="1" ht="30" customHeight="1">
      <c r="A40" s="51" t="s">
        <v>66</v>
      </c>
      <c r="B40" s="89" t="s">
        <v>67</v>
      </c>
      <c r="C40" s="90"/>
      <c r="D40" s="90"/>
      <c r="E40" s="90"/>
      <c r="F40" s="90"/>
      <c r="G40" s="90"/>
      <c r="H40" s="90"/>
      <c r="I40" s="91"/>
      <c r="J40" s="19">
        <v>5</v>
      </c>
      <c r="K40" s="19">
        <v>2</v>
      </c>
      <c r="L40" s="19">
        <v>1</v>
      </c>
      <c r="M40" s="19">
        <v>0</v>
      </c>
      <c r="N40" s="87">
        <f>K40+L40+M40</f>
        <v>3</v>
      </c>
      <c r="O40" s="52">
        <f>P40-N40</f>
        <v>6</v>
      </c>
      <c r="P40" s="52">
        <f>ROUND(PRODUCT(J40,25)/14,0)</f>
        <v>9</v>
      </c>
      <c r="Q40" s="53" t="s">
        <v>64</v>
      </c>
      <c r="R40" s="19"/>
      <c r="S40" s="19"/>
      <c r="T40" s="19" t="s">
        <v>44</v>
      </c>
      <c r="U40" s="85"/>
      <c r="V40" s="85"/>
    </row>
    <row r="41" spans="1:22" s="54" customFormat="1" ht="30" customHeight="1">
      <c r="A41" s="51" t="s">
        <v>68</v>
      </c>
      <c r="B41" s="89" t="s">
        <v>69</v>
      </c>
      <c r="C41" s="90"/>
      <c r="D41" s="90"/>
      <c r="E41" s="90"/>
      <c r="F41" s="90"/>
      <c r="G41" s="90"/>
      <c r="H41" s="90"/>
      <c r="I41" s="91"/>
      <c r="J41" s="19">
        <v>6</v>
      </c>
      <c r="K41" s="19">
        <v>2</v>
      </c>
      <c r="L41" s="19">
        <v>2</v>
      </c>
      <c r="M41" s="19">
        <v>0</v>
      </c>
      <c r="N41" s="87">
        <f t="shared" ref="N41:N45" si="2">K41+L41+M41</f>
        <v>4</v>
      </c>
      <c r="O41" s="52">
        <f t="shared" ref="O41:O45" si="3">P41-N41</f>
        <v>7</v>
      </c>
      <c r="P41" s="52">
        <f t="shared" ref="P41:P45" si="4">ROUND(PRODUCT(J41,25)/14,0)</f>
        <v>11</v>
      </c>
      <c r="Q41" s="53" t="s">
        <v>64</v>
      </c>
      <c r="R41" s="19"/>
      <c r="S41" s="19"/>
      <c r="T41" s="19" t="s">
        <v>44</v>
      </c>
      <c r="U41" s="85"/>
      <c r="V41" s="85" t="s">
        <v>70</v>
      </c>
    </row>
    <row r="42" spans="1:22" s="54" customFormat="1" ht="30" customHeight="1">
      <c r="A42" s="51" t="s">
        <v>71</v>
      </c>
      <c r="B42" s="89" t="s">
        <v>72</v>
      </c>
      <c r="C42" s="90"/>
      <c r="D42" s="90"/>
      <c r="E42" s="90"/>
      <c r="F42" s="90"/>
      <c r="G42" s="90"/>
      <c r="H42" s="90"/>
      <c r="I42" s="91"/>
      <c r="J42" s="19">
        <v>3</v>
      </c>
      <c r="K42" s="19">
        <v>1</v>
      </c>
      <c r="L42" s="19">
        <v>1</v>
      </c>
      <c r="M42" s="19">
        <v>0</v>
      </c>
      <c r="N42" s="87">
        <f t="shared" si="2"/>
        <v>2</v>
      </c>
      <c r="O42" s="52">
        <f t="shared" si="3"/>
        <v>3</v>
      </c>
      <c r="P42" s="52">
        <f t="shared" si="4"/>
        <v>5</v>
      </c>
      <c r="Q42" s="53" t="s">
        <v>64</v>
      </c>
      <c r="R42" s="19"/>
      <c r="S42" s="19"/>
      <c r="T42" s="19" t="s">
        <v>44</v>
      </c>
      <c r="U42" s="85"/>
      <c r="V42" s="85" t="s">
        <v>73</v>
      </c>
    </row>
    <row r="43" spans="1:22" s="54" customFormat="1" ht="30" customHeight="1">
      <c r="A43" s="51" t="s">
        <v>74</v>
      </c>
      <c r="B43" s="89" t="s">
        <v>75</v>
      </c>
      <c r="C43" s="90"/>
      <c r="D43" s="90"/>
      <c r="E43" s="90"/>
      <c r="F43" s="90"/>
      <c r="G43" s="90"/>
      <c r="H43" s="90"/>
      <c r="I43" s="91"/>
      <c r="J43" s="19">
        <v>2</v>
      </c>
      <c r="K43" s="19">
        <v>1</v>
      </c>
      <c r="L43" s="19">
        <v>0</v>
      </c>
      <c r="M43" s="19">
        <v>0</v>
      </c>
      <c r="N43" s="87">
        <f t="shared" si="2"/>
        <v>1</v>
      </c>
      <c r="O43" s="52">
        <f t="shared" si="3"/>
        <v>3</v>
      </c>
      <c r="P43" s="52">
        <f t="shared" si="4"/>
        <v>4</v>
      </c>
      <c r="Q43" s="53"/>
      <c r="R43" s="19" t="s">
        <v>59</v>
      </c>
      <c r="S43" s="19"/>
      <c r="T43" s="19" t="s">
        <v>45</v>
      </c>
      <c r="U43" s="85"/>
      <c r="V43" s="85"/>
    </row>
    <row r="44" spans="1:22" s="75" customFormat="1" ht="40.5" customHeight="1">
      <c r="A44" s="69" t="s">
        <v>76</v>
      </c>
      <c r="B44" s="110" t="s">
        <v>77</v>
      </c>
      <c r="C44" s="111"/>
      <c r="D44" s="111"/>
      <c r="E44" s="111"/>
      <c r="F44" s="111"/>
      <c r="G44" s="111"/>
      <c r="H44" s="111"/>
      <c r="I44" s="112"/>
      <c r="J44" s="70">
        <v>6</v>
      </c>
      <c r="K44" s="70">
        <v>2</v>
      </c>
      <c r="L44" s="70">
        <v>2</v>
      </c>
      <c r="M44" s="70">
        <v>0</v>
      </c>
      <c r="N44" s="71">
        <f t="shared" si="2"/>
        <v>4</v>
      </c>
      <c r="O44" s="72">
        <f t="shared" si="3"/>
        <v>7</v>
      </c>
      <c r="P44" s="72">
        <f t="shared" si="4"/>
        <v>11</v>
      </c>
      <c r="Q44" s="73" t="s">
        <v>64</v>
      </c>
      <c r="R44" s="70"/>
      <c r="S44" s="70"/>
      <c r="T44" s="70" t="s">
        <v>46</v>
      </c>
      <c r="U44" s="74"/>
      <c r="V44" s="74"/>
    </row>
    <row r="45" spans="1:22" s="54" customFormat="1" ht="30" customHeight="1">
      <c r="A45" s="51" t="s">
        <v>78</v>
      </c>
      <c r="B45" s="89" t="s">
        <v>79</v>
      </c>
      <c r="C45" s="90"/>
      <c r="D45" s="90"/>
      <c r="E45" s="90"/>
      <c r="F45" s="90"/>
      <c r="G45" s="90"/>
      <c r="H45" s="90"/>
      <c r="I45" s="91"/>
      <c r="J45" s="19">
        <v>8</v>
      </c>
      <c r="K45" s="19">
        <v>0</v>
      </c>
      <c r="L45" s="19">
        <v>0</v>
      </c>
      <c r="M45" s="19">
        <v>6</v>
      </c>
      <c r="N45" s="87">
        <f t="shared" si="2"/>
        <v>6</v>
      </c>
      <c r="O45" s="52">
        <f t="shared" si="3"/>
        <v>8</v>
      </c>
      <c r="P45" s="52">
        <f t="shared" si="4"/>
        <v>14</v>
      </c>
      <c r="Q45" s="53"/>
      <c r="R45" s="19" t="s">
        <v>59</v>
      </c>
      <c r="S45" s="19"/>
      <c r="T45" s="19" t="s">
        <v>44</v>
      </c>
      <c r="U45" s="85"/>
      <c r="V45" s="85" t="s">
        <v>80</v>
      </c>
    </row>
    <row r="46" spans="1:22">
      <c r="A46" s="16" t="s">
        <v>81</v>
      </c>
      <c r="B46" s="150"/>
      <c r="C46" s="151"/>
      <c r="D46" s="151"/>
      <c r="E46" s="151"/>
      <c r="F46" s="151"/>
      <c r="G46" s="151"/>
      <c r="H46" s="151"/>
      <c r="I46" s="152"/>
      <c r="J46" s="16">
        <f t="shared" ref="J46:P46" si="5">SUM(J40:J45)</f>
        <v>30</v>
      </c>
      <c r="K46" s="16">
        <f t="shared" si="5"/>
        <v>8</v>
      </c>
      <c r="L46" s="16">
        <f t="shared" si="5"/>
        <v>6</v>
      </c>
      <c r="M46" s="16">
        <f t="shared" si="5"/>
        <v>6</v>
      </c>
      <c r="N46" s="16">
        <f t="shared" si="5"/>
        <v>20</v>
      </c>
      <c r="O46" s="16">
        <f t="shared" si="5"/>
        <v>34</v>
      </c>
      <c r="P46" s="16">
        <f t="shared" si="5"/>
        <v>54</v>
      </c>
      <c r="Q46" s="16">
        <f>COUNTIF(Q40:Q45,"E")</f>
        <v>4</v>
      </c>
      <c r="R46" s="16">
        <f>COUNTIF(R40:R45,"C")</f>
        <v>2</v>
      </c>
      <c r="S46" s="16">
        <f>COUNTIF(S40:S45,"VP")</f>
        <v>0</v>
      </c>
      <c r="T46" s="29">
        <f>COUNTA(T40:T45)</f>
        <v>6</v>
      </c>
      <c r="U46" s="154" t="str">
        <f>IF(Q46&gt;=SUM(R46:S46),"Corect","E trebuie să fie cel puțin egal cu C+VP")</f>
        <v>Corect</v>
      </c>
      <c r="V46" s="155"/>
    </row>
    <row r="47" spans="1:22" ht="19.5" customHeight="1">
      <c r="A47" s="44"/>
      <c r="B47" s="44"/>
      <c r="C47" s="44"/>
      <c r="D47" s="44"/>
      <c r="E47" s="44"/>
      <c r="F47" s="44"/>
      <c r="G47" s="44"/>
      <c r="H47" s="44"/>
      <c r="I47" s="44"/>
      <c r="J47" s="44"/>
      <c r="K47" s="44"/>
      <c r="L47" s="44"/>
      <c r="M47" s="44"/>
      <c r="N47" s="44"/>
      <c r="O47" s="44"/>
      <c r="P47" s="44"/>
      <c r="Q47" s="44"/>
      <c r="R47" s="44"/>
      <c r="S47" s="44"/>
      <c r="T47" s="44"/>
      <c r="U47" s="44"/>
      <c r="V47" s="44"/>
    </row>
    <row r="48" spans="1:22" ht="16.5" customHeight="1">
      <c r="A48" s="92" t="s">
        <v>82</v>
      </c>
      <c r="B48" s="92"/>
      <c r="C48" s="92"/>
      <c r="D48" s="92"/>
      <c r="E48" s="92"/>
      <c r="F48" s="92"/>
      <c r="G48" s="92"/>
      <c r="H48" s="92"/>
      <c r="I48" s="92"/>
      <c r="J48" s="92"/>
      <c r="K48" s="92"/>
      <c r="L48" s="92"/>
      <c r="M48" s="92"/>
      <c r="N48" s="92"/>
      <c r="O48" s="92"/>
      <c r="P48" s="92"/>
      <c r="Q48" s="92"/>
      <c r="R48" s="92"/>
      <c r="S48" s="92"/>
      <c r="T48" s="92"/>
      <c r="U48" s="44"/>
      <c r="V48" s="44"/>
    </row>
    <row r="49" spans="1:22" ht="26.25" customHeight="1">
      <c r="A49" s="94" t="s">
        <v>51</v>
      </c>
      <c r="B49" s="96" t="s">
        <v>52</v>
      </c>
      <c r="C49" s="97"/>
      <c r="D49" s="97"/>
      <c r="E49" s="97"/>
      <c r="F49" s="97"/>
      <c r="G49" s="97"/>
      <c r="H49" s="97"/>
      <c r="I49" s="98"/>
      <c r="J49" s="101" t="s">
        <v>53</v>
      </c>
      <c r="K49" s="142" t="s">
        <v>54</v>
      </c>
      <c r="L49" s="143"/>
      <c r="M49" s="144"/>
      <c r="N49" s="142" t="s">
        <v>55</v>
      </c>
      <c r="O49" s="158"/>
      <c r="P49" s="159"/>
      <c r="Q49" s="142" t="s">
        <v>56</v>
      </c>
      <c r="R49" s="143"/>
      <c r="S49" s="144"/>
      <c r="T49" s="149" t="s">
        <v>57</v>
      </c>
      <c r="U49" s="44"/>
      <c r="V49" s="44"/>
    </row>
    <row r="50" spans="1:22" ht="12.75" customHeight="1">
      <c r="A50" s="95"/>
      <c r="B50" s="99"/>
      <c r="C50" s="93"/>
      <c r="D50" s="93"/>
      <c r="E50" s="93"/>
      <c r="F50" s="93"/>
      <c r="G50" s="93"/>
      <c r="H50" s="93"/>
      <c r="I50" s="100"/>
      <c r="J50" s="102"/>
      <c r="K50" s="79" t="s">
        <v>59</v>
      </c>
      <c r="L50" s="79" t="s">
        <v>60</v>
      </c>
      <c r="M50" s="79" t="s">
        <v>61</v>
      </c>
      <c r="N50" s="79" t="s">
        <v>62</v>
      </c>
      <c r="O50" s="79" t="s">
        <v>37</v>
      </c>
      <c r="P50" s="79" t="s">
        <v>63</v>
      </c>
      <c r="Q50" s="79" t="s">
        <v>64</v>
      </c>
      <c r="R50" s="79" t="s">
        <v>59</v>
      </c>
      <c r="S50" s="79" t="s">
        <v>65</v>
      </c>
      <c r="T50" s="102"/>
      <c r="U50" s="44"/>
      <c r="V50" s="44"/>
    </row>
    <row r="51" spans="1:22" s="54" customFormat="1" ht="30" customHeight="1">
      <c r="A51" s="51" t="s">
        <v>83</v>
      </c>
      <c r="B51" s="89" t="s">
        <v>84</v>
      </c>
      <c r="C51" s="90"/>
      <c r="D51" s="90"/>
      <c r="E51" s="90"/>
      <c r="F51" s="90"/>
      <c r="G51" s="90"/>
      <c r="H51" s="90"/>
      <c r="I51" s="91"/>
      <c r="J51" s="19">
        <v>5</v>
      </c>
      <c r="K51" s="19">
        <v>2</v>
      </c>
      <c r="L51" s="19">
        <v>1</v>
      </c>
      <c r="M51" s="19">
        <v>0</v>
      </c>
      <c r="N51" s="87">
        <f>K51+L51+M51</f>
        <v>3</v>
      </c>
      <c r="O51" s="52">
        <f>P51-N51</f>
        <v>6</v>
      </c>
      <c r="P51" s="52">
        <f>ROUND(PRODUCT(J51,25)/14,0)</f>
        <v>9</v>
      </c>
      <c r="Q51" s="53" t="s">
        <v>64</v>
      </c>
      <c r="R51" s="19"/>
      <c r="S51" s="19"/>
      <c r="T51" s="19" t="s">
        <v>44</v>
      </c>
      <c r="U51" s="55"/>
      <c r="V51" s="55"/>
    </row>
    <row r="52" spans="1:22" s="54" customFormat="1" ht="30" customHeight="1">
      <c r="A52" s="51" t="s">
        <v>85</v>
      </c>
      <c r="B52" s="89" t="s">
        <v>86</v>
      </c>
      <c r="C52" s="90"/>
      <c r="D52" s="90"/>
      <c r="E52" s="90"/>
      <c r="F52" s="90"/>
      <c r="G52" s="90"/>
      <c r="H52" s="90"/>
      <c r="I52" s="91"/>
      <c r="J52" s="19">
        <v>3</v>
      </c>
      <c r="K52" s="19">
        <v>1</v>
      </c>
      <c r="L52" s="19">
        <v>1</v>
      </c>
      <c r="M52" s="19">
        <v>0</v>
      </c>
      <c r="N52" s="87">
        <f t="shared" ref="N52:N54" si="6">K52+L52+M52</f>
        <v>2</v>
      </c>
      <c r="O52" s="52">
        <f t="shared" ref="O52:O54" si="7">P52-N52</f>
        <v>3</v>
      </c>
      <c r="P52" s="52">
        <f t="shared" ref="P52:P54" si="8">ROUND(PRODUCT(J52,25)/14,0)</f>
        <v>5</v>
      </c>
      <c r="Q52" s="53" t="s">
        <v>64</v>
      </c>
      <c r="R52" s="19"/>
      <c r="S52" s="19"/>
      <c r="T52" s="19" t="s">
        <v>44</v>
      </c>
      <c r="U52" s="55"/>
      <c r="V52" s="55"/>
    </row>
    <row r="53" spans="1:22" s="54" customFormat="1" ht="30" customHeight="1">
      <c r="A53" s="51" t="s">
        <v>87</v>
      </c>
      <c r="B53" s="89" t="s">
        <v>88</v>
      </c>
      <c r="C53" s="90"/>
      <c r="D53" s="90"/>
      <c r="E53" s="90"/>
      <c r="F53" s="90"/>
      <c r="G53" s="90"/>
      <c r="H53" s="90"/>
      <c r="I53" s="91"/>
      <c r="J53" s="19">
        <v>6</v>
      </c>
      <c r="K53" s="19">
        <v>2</v>
      </c>
      <c r="L53" s="19">
        <v>2</v>
      </c>
      <c r="M53" s="19">
        <v>0</v>
      </c>
      <c r="N53" s="87">
        <f t="shared" si="6"/>
        <v>4</v>
      </c>
      <c r="O53" s="52">
        <f t="shared" si="7"/>
        <v>7</v>
      </c>
      <c r="P53" s="52">
        <f t="shared" si="8"/>
        <v>11</v>
      </c>
      <c r="Q53" s="53" t="s">
        <v>64</v>
      </c>
      <c r="R53" s="19"/>
      <c r="S53" s="19"/>
      <c r="T53" s="19" t="s">
        <v>46</v>
      </c>
      <c r="U53" s="56"/>
      <c r="V53" s="56"/>
    </row>
    <row r="54" spans="1:22" s="54" customFormat="1" ht="30" customHeight="1">
      <c r="A54" s="51" t="s">
        <v>89</v>
      </c>
      <c r="B54" s="89" t="s">
        <v>90</v>
      </c>
      <c r="C54" s="90"/>
      <c r="D54" s="90"/>
      <c r="E54" s="90"/>
      <c r="F54" s="90"/>
      <c r="G54" s="90"/>
      <c r="H54" s="90"/>
      <c r="I54" s="91"/>
      <c r="J54" s="19">
        <v>10</v>
      </c>
      <c r="K54" s="19">
        <v>0</v>
      </c>
      <c r="L54" s="19">
        <v>0</v>
      </c>
      <c r="M54" s="19">
        <v>8</v>
      </c>
      <c r="N54" s="87">
        <f t="shared" si="6"/>
        <v>8</v>
      </c>
      <c r="O54" s="52">
        <f t="shared" si="7"/>
        <v>10</v>
      </c>
      <c r="P54" s="52">
        <f t="shared" si="8"/>
        <v>18</v>
      </c>
      <c r="Q54" s="53"/>
      <c r="R54" s="19" t="s">
        <v>59</v>
      </c>
      <c r="S54" s="19"/>
      <c r="T54" s="19" t="s">
        <v>47</v>
      </c>
      <c r="U54" s="55"/>
      <c r="V54" s="55"/>
    </row>
    <row r="55" spans="1:22" s="54" customFormat="1" ht="55.15" customHeight="1">
      <c r="A55" s="51" t="s">
        <v>91</v>
      </c>
      <c r="B55" s="89" t="s">
        <v>92</v>
      </c>
      <c r="C55" s="90"/>
      <c r="D55" s="90"/>
      <c r="E55" s="90"/>
      <c r="F55" s="90"/>
      <c r="G55" s="90"/>
      <c r="H55" s="90"/>
      <c r="I55" s="91"/>
      <c r="J55" s="19">
        <v>3</v>
      </c>
      <c r="K55" s="19">
        <v>1</v>
      </c>
      <c r="L55" s="19">
        <v>0</v>
      </c>
      <c r="M55" s="19">
        <v>1</v>
      </c>
      <c r="N55" s="87">
        <f>K55+L55+M55</f>
        <v>2</v>
      </c>
      <c r="O55" s="52">
        <f>P55-N55</f>
        <v>3</v>
      </c>
      <c r="P55" s="52">
        <f>ROUND(PRODUCT(J55,25)/14,0)</f>
        <v>5</v>
      </c>
      <c r="Q55" s="53" t="s">
        <v>64</v>
      </c>
      <c r="R55" s="19"/>
      <c r="S55" s="19"/>
      <c r="T55" s="19" t="s">
        <v>48</v>
      </c>
      <c r="U55" s="55"/>
      <c r="V55" s="55"/>
    </row>
    <row r="56" spans="1:22" s="54" customFormat="1" ht="54.75" customHeight="1">
      <c r="A56" s="51" t="s">
        <v>93</v>
      </c>
      <c r="B56" s="89" t="s">
        <v>94</v>
      </c>
      <c r="C56" s="90"/>
      <c r="D56" s="90"/>
      <c r="E56" s="90"/>
      <c r="F56" s="90"/>
      <c r="G56" s="90"/>
      <c r="H56" s="90"/>
      <c r="I56" s="91"/>
      <c r="J56" s="19">
        <v>3</v>
      </c>
      <c r="K56" s="19">
        <v>1</v>
      </c>
      <c r="L56" s="19">
        <v>1</v>
      </c>
      <c r="M56" s="19">
        <v>0</v>
      </c>
      <c r="N56" s="87">
        <f>K56+L56+M56</f>
        <v>2</v>
      </c>
      <c r="O56" s="52">
        <f>P56-N56</f>
        <v>3</v>
      </c>
      <c r="P56" s="52">
        <f>ROUND(PRODUCT(J56,25)/14,0)</f>
        <v>5</v>
      </c>
      <c r="Q56" s="53"/>
      <c r="R56" s="19" t="s">
        <v>59</v>
      </c>
      <c r="S56" s="19"/>
      <c r="T56" s="19" t="s">
        <v>49</v>
      </c>
      <c r="U56" s="55"/>
      <c r="V56" s="55"/>
    </row>
    <row r="57" spans="1:22">
      <c r="A57" s="16" t="s">
        <v>81</v>
      </c>
      <c r="B57" s="150"/>
      <c r="C57" s="151"/>
      <c r="D57" s="151"/>
      <c r="E57" s="151"/>
      <c r="F57" s="151"/>
      <c r="G57" s="151"/>
      <c r="H57" s="151"/>
      <c r="I57" s="152"/>
      <c r="J57" s="16">
        <f t="shared" ref="J57:P57" si="9">SUM(J51:J56)</f>
        <v>30</v>
      </c>
      <c r="K57" s="16">
        <f t="shared" si="9"/>
        <v>7</v>
      </c>
      <c r="L57" s="16">
        <f t="shared" si="9"/>
        <v>5</v>
      </c>
      <c r="M57" s="16">
        <f t="shared" si="9"/>
        <v>9</v>
      </c>
      <c r="N57" s="16">
        <f t="shared" si="9"/>
        <v>21</v>
      </c>
      <c r="O57" s="16">
        <f t="shared" si="9"/>
        <v>32</v>
      </c>
      <c r="P57" s="16">
        <f t="shared" si="9"/>
        <v>53</v>
      </c>
      <c r="Q57" s="16">
        <f>COUNTIF(Q51:Q56,"E")</f>
        <v>4</v>
      </c>
      <c r="R57" s="16">
        <f>COUNTIF(R51:R56,"C")</f>
        <v>2</v>
      </c>
      <c r="S57" s="16">
        <f>COUNTIF(S51:S56,"VP")</f>
        <v>0</v>
      </c>
      <c r="T57" s="29">
        <f>COUNTA(T51:T56)</f>
        <v>6</v>
      </c>
      <c r="U57" s="154" t="str">
        <f>IF(Q57&gt;=SUM(R57:S57),"Corect","E trebuie să fie cel puțin egal cu C+VP")</f>
        <v>Corect</v>
      </c>
      <c r="V57" s="155"/>
    </row>
    <row r="58" spans="1:22" ht="11.25" customHeight="1">
      <c r="A58" s="44"/>
      <c r="B58" s="44"/>
      <c r="C58" s="44"/>
      <c r="D58" s="44"/>
      <c r="E58" s="44"/>
      <c r="F58" s="44"/>
      <c r="G58" s="44"/>
      <c r="H58" s="44"/>
      <c r="I58" s="44"/>
      <c r="J58" s="44"/>
      <c r="K58" s="44"/>
      <c r="L58" s="44"/>
      <c r="M58" s="44"/>
      <c r="N58" s="44"/>
      <c r="O58" s="44"/>
      <c r="P58" s="44"/>
      <c r="Q58" s="44"/>
      <c r="R58" s="44"/>
      <c r="S58" s="44"/>
      <c r="T58" s="44"/>
      <c r="U58" s="44"/>
      <c r="V58" s="44"/>
    </row>
    <row r="59" spans="1:22">
      <c r="A59" s="44"/>
      <c r="B59" s="84"/>
      <c r="C59" s="84"/>
      <c r="D59" s="84"/>
      <c r="E59" s="84"/>
      <c r="F59" s="84"/>
      <c r="G59" s="84"/>
      <c r="H59" s="44"/>
      <c r="I59" s="44"/>
      <c r="J59" s="44"/>
      <c r="K59" s="44"/>
      <c r="L59" s="44"/>
      <c r="M59" s="84"/>
      <c r="N59" s="84"/>
      <c r="O59" s="84"/>
      <c r="P59" s="84"/>
      <c r="Q59" s="84"/>
      <c r="R59" s="84"/>
      <c r="S59" s="84"/>
      <c r="T59" s="44"/>
      <c r="U59" s="44"/>
      <c r="V59" s="44"/>
    </row>
    <row r="61" spans="1:22" ht="18" customHeight="1">
      <c r="A61" s="92" t="s">
        <v>95</v>
      </c>
      <c r="B61" s="92"/>
      <c r="C61" s="92"/>
      <c r="D61" s="92"/>
      <c r="E61" s="92"/>
      <c r="F61" s="92"/>
      <c r="G61" s="92"/>
      <c r="H61" s="92"/>
      <c r="I61" s="92"/>
      <c r="J61" s="92"/>
      <c r="K61" s="92"/>
      <c r="L61" s="92"/>
      <c r="M61" s="92"/>
      <c r="N61" s="92"/>
      <c r="O61" s="92"/>
      <c r="P61" s="92"/>
      <c r="Q61" s="92"/>
      <c r="R61" s="92"/>
      <c r="S61" s="92"/>
      <c r="T61" s="92"/>
      <c r="U61" s="44"/>
      <c r="V61" s="44"/>
    </row>
    <row r="62" spans="1:22" ht="25.5" customHeight="1">
      <c r="A62" s="94" t="s">
        <v>51</v>
      </c>
      <c r="B62" s="96" t="s">
        <v>52</v>
      </c>
      <c r="C62" s="97"/>
      <c r="D62" s="97"/>
      <c r="E62" s="97"/>
      <c r="F62" s="97"/>
      <c r="G62" s="97"/>
      <c r="H62" s="97"/>
      <c r="I62" s="98"/>
      <c r="J62" s="101" t="s">
        <v>53</v>
      </c>
      <c r="K62" s="142" t="s">
        <v>54</v>
      </c>
      <c r="L62" s="143"/>
      <c r="M62" s="144"/>
      <c r="N62" s="142" t="s">
        <v>55</v>
      </c>
      <c r="O62" s="158"/>
      <c r="P62" s="159"/>
      <c r="Q62" s="142" t="s">
        <v>56</v>
      </c>
      <c r="R62" s="143"/>
      <c r="S62" s="144"/>
      <c r="T62" s="149" t="s">
        <v>57</v>
      </c>
      <c r="U62" s="44"/>
      <c r="V62" s="44"/>
    </row>
    <row r="63" spans="1:22" ht="16.5" customHeight="1">
      <c r="A63" s="95"/>
      <c r="B63" s="99"/>
      <c r="C63" s="93"/>
      <c r="D63" s="93"/>
      <c r="E63" s="93"/>
      <c r="F63" s="93"/>
      <c r="G63" s="93"/>
      <c r="H63" s="93"/>
      <c r="I63" s="100"/>
      <c r="J63" s="102"/>
      <c r="K63" s="79" t="s">
        <v>59</v>
      </c>
      <c r="L63" s="79" t="s">
        <v>60</v>
      </c>
      <c r="M63" s="79" t="s">
        <v>61</v>
      </c>
      <c r="N63" s="79" t="s">
        <v>62</v>
      </c>
      <c r="O63" s="79" t="s">
        <v>37</v>
      </c>
      <c r="P63" s="79" t="s">
        <v>63</v>
      </c>
      <c r="Q63" s="79" t="s">
        <v>64</v>
      </c>
      <c r="R63" s="79" t="s">
        <v>59</v>
      </c>
      <c r="S63" s="79" t="s">
        <v>65</v>
      </c>
      <c r="T63" s="102"/>
      <c r="U63" s="44"/>
      <c r="V63" s="44"/>
    </row>
    <row r="64" spans="1:22" s="54" customFormat="1" ht="28.7" customHeight="1">
      <c r="A64" s="51" t="s">
        <v>96</v>
      </c>
      <c r="B64" s="89" t="s">
        <v>97</v>
      </c>
      <c r="C64" s="90"/>
      <c r="D64" s="90"/>
      <c r="E64" s="90"/>
      <c r="F64" s="90"/>
      <c r="G64" s="90"/>
      <c r="H64" s="90"/>
      <c r="I64" s="91"/>
      <c r="J64" s="19">
        <v>6</v>
      </c>
      <c r="K64" s="19">
        <v>2</v>
      </c>
      <c r="L64" s="19">
        <v>2</v>
      </c>
      <c r="M64" s="19">
        <v>0</v>
      </c>
      <c r="N64" s="87">
        <f>K64+L64+M64</f>
        <v>4</v>
      </c>
      <c r="O64" s="52">
        <f>P64-N64</f>
        <v>7</v>
      </c>
      <c r="P64" s="52">
        <f>ROUND(PRODUCT(J64,25)/14,0)</f>
        <v>11</v>
      </c>
      <c r="Q64" s="53" t="s">
        <v>64</v>
      </c>
      <c r="R64" s="19"/>
      <c r="S64" s="19"/>
      <c r="T64" s="19" t="s">
        <v>48</v>
      </c>
    </row>
    <row r="65" spans="1:22" s="54" customFormat="1" ht="28.7" customHeight="1">
      <c r="A65" s="51" t="s">
        <v>98</v>
      </c>
      <c r="B65" s="89" t="s">
        <v>99</v>
      </c>
      <c r="C65" s="90"/>
      <c r="D65" s="90"/>
      <c r="E65" s="90"/>
      <c r="F65" s="90"/>
      <c r="G65" s="90"/>
      <c r="H65" s="90"/>
      <c r="I65" s="91"/>
      <c r="J65" s="19">
        <v>3</v>
      </c>
      <c r="K65" s="19">
        <v>1</v>
      </c>
      <c r="L65" s="19">
        <v>1</v>
      </c>
      <c r="M65" s="19">
        <v>0</v>
      </c>
      <c r="N65" s="87">
        <f t="shared" ref="N65:N69" si="10">K65+L65+M65</f>
        <v>2</v>
      </c>
      <c r="O65" s="52">
        <f t="shared" ref="O65:O69" si="11">P65-N65</f>
        <v>3</v>
      </c>
      <c r="P65" s="52">
        <f t="shared" ref="P65:P69" si="12">ROUND(PRODUCT(J65,25)/14,0)</f>
        <v>5</v>
      </c>
      <c r="Q65" s="53" t="s">
        <v>64</v>
      </c>
      <c r="R65" s="19"/>
      <c r="S65" s="19"/>
      <c r="T65" s="19" t="s">
        <v>44</v>
      </c>
    </row>
    <row r="66" spans="1:22" s="54" customFormat="1" ht="42" customHeight="1">
      <c r="A66" s="51" t="s">
        <v>100</v>
      </c>
      <c r="B66" s="89" t="s">
        <v>101</v>
      </c>
      <c r="C66" s="90"/>
      <c r="D66" s="90"/>
      <c r="E66" s="90"/>
      <c r="F66" s="90"/>
      <c r="G66" s="90"/>
      <c r="H66" s="90"/>
      <c r="I66" s="91"/>
      <c r="J66" s="19">
        <v>3</v>
      </c>
      <c r="K66" s="19">
        <v>1</v>
      </c>
      <c r="L66" s="19">
        <v>1</v>
      </c>
      <c r="M66" s="19">
        <v>0</v>
      </c>
      <c r="N66" s="87">
        <f t="shared" si="10"/>
        <v>2</v>
      </c>
      <c r="O66" s="52">
        <f t="shared" si="11"/>
        <v>3</v>
      </c>
      <c r="P66" s="52">
        <f t="shared" si="12"/>
        <v>5</v>
      </c>
      <c r="Q66" s="53"/>
      <c r="R66" s="19" t="s">
        <v>59</v>
      </c>
      <c r="S66" s="19"/>
      <c r="T66" s="19" t="s">
        <v>44</v>
      </c>
    </row>
    <row r="67" spans="1:22" s="54" customFormat="1" ht="40.5" customHeight="1">
      <c r="A67" s="51" t="s">
        <v>102</v>
      </c>
      <c r="B67" s="89" t="s">
        <v>103</v>
      </c>
      <c r="C67" s="90"/>
      <c r="D67" s="90"/>
      <c r="E67" s="90"/>
      <c r="F67" s="90"/>
      <c r="G67" s="90"/>
      <c r="H67" s="90"/>
      <c r="I67" s="91"/>
      <c r="J67" s="19">
        <v>3</v>
      </c>
      <c r="K67" s="19">
        <v>1</v>
      </c>
      <c r="L67" s="19">
        <v>0</v>
      </c>
      <c r="M67" s="19">
        <v>1</v>
      </c>
      <c r="N67" s="87">
        <f t="shared" si="10"/>
        <v>2</v>
      </c>
      <c r="O67" s="52">
        <f t="shared" si="11"/>
        <v>3</v>
      </c>
      <c r="P67" s="52">
        <f t="shared" si="12"/>
        <v>5</v>
      </c>
      <c r="Q67" s="53" t="s">
        <v>64</v>
      </c>
      <c r="R67" s="19"/>
      <c r="S67" s="19"/>
      <c r="T67" s="19" t="s">
        <v>48</v>
      </c>
    </row>
    <row r="68" spans="1:22" s="54" customFormat="1" ht="32.25" customHeight="1">
      <c r="A68" s="51" t="s">
        <v>104</v>
      </c>
      <c r="B68" s="89" t="s">
        <v>105</v>
      </c>
      <c r="C68" s="90"/>
      <c r="D68" s="90"/>
      <c r="E68" s="90"/>
      <c r="F68" s="90"/>
      <c r="G68" s="90"/>
      <c r="H68" s="90"/>
      <c r="I68" s="91"/>
      <c r="J68" s="19">
        <v>10</v>
      </c>
      <c r="K68" s="19">
        <v>0</v>
      </c>
      <c r="L68" s="19">
        <v>0</v>
      </c>
      <c r="M68" s="19">
        <v>8</v>
      </c>
      <c r="N68" s="87">
        <f t="shared" si="10"/>
        <v>8</v>
      </c>
      <c r="O68" s="52">
        <f t="shared" si="11"/>
        <v>10</v>
      </c>
      <c r="P68" s="52">
        <f t="shared" si="12"/>
        <v>18</v>
      </c>
      <c r="Q68" s="53"/>
      <c r="R68" s="19" t="s">
        <v>59</v>
      </c>
      <c r="S68" s="19"/>
      <c r="T68" s="19" t="s">
        <v>47</v>
      </c>
    </row>
    <row r="69" spans="1:22" s="54" customFormat="1" ht="28.7" customHeight="1">
      <c r="A69" s="51" t="s">
        <v>106</v>
      </c>
      <c r="B69" s="89" t="s">
        <v>107</v>
      </c>
      <c r="C69" s="90"/>
      <c r="D69" s="90"/>
      <c r="E69" s="90"/>
      <c r="F69" s="90"/>
      <c r="G69" s="90"/>
      <c r="H69" s="90"/>
      <c r="I69" s="91"/>
      <c r="J69" s="19">
        <v>5</v>
      </c>
      <c r="K69" s="19">
        <v>1</v>
      </c>
      <c r="L69" s="19">
        <v>0</v>
      </c>
      <c r="M69" s="19">
        <v>2</v>
      </c>
      <c r="N69" s="87">
        <f t="shared" si="10"/>
        <v>3</v>
      </c>
      <c r="O69" s="52">
        <f t="shared" si="11"/>
        <v>6</v>
      </c>
      <c r="P69" s="52">
        <f t="shared" si="12"/>
        <v>9</v>
      </c>
      <c r="Q69" s="53" t="s">
        <v>64</v>
      </c>
      <c r="R69" s="19"/>
      <c r="S69" s="19"/>
      <c r="T69" s="19" t="s">
        <v>48</v>
      </c>
    </row>
    <row r="70" spans="1:22">
      <c r="A70" s="16" t="s">
        <v>81</v>
      </c>
      <c r="B70" s="150"/>
      <c r="C70" s="151"/>
      <c r="D70" s="151"/>
      <c r="E70" s="151"/>
      <c r="F70" s="151"/>
      <c r="G70" s="151"/>
      <c r="H70" s="151"/>
      <c r="I70" s="152"/>
      <c r="J70" s="16">
        <f t="shared" ref="J70:P70" si="13">SUM(J64:J69)</f>
        <v>30</v>
      </c>
      <c r="K70" s="16">
        <f t="shared" si="13"/>
        <v>6</v>
      </c>
      <c r="L70" s="16">
        <f t="shared" si="13"/>
        <v>4</v>
      </c>
      <c r="M70" s="16">
        <f t="shared" si="13"/>
        <v>11</v>
      </c>
      <c r="N70" s="16">
        <f t="shared" si="13"/>
        <v>21</v>
      </c>
      <c r="O70" s="16">
        <f t="shared" si="13"/>
        <v>32</v>
      </c>
      <c r="P70" s="16">
        <f t="shared" si="13"/>
        <v>53</v>
      </c>
      <c r="Q70" s="16">
        <f>COUNTIF(Q64:Q69,"E")</f>
        <v>4</v>
      </c>
      <c r="R70" s="16">
        <f>COUNTIF(R64:R69,"C")</f>
        <v>2</v>
      </c>
      <c r="S70" s="16">
        <f>COUNTIF(S64:S69,"VP")</f>
        <v>0</v>
      </c>
      <c r="T70" s="29">
        <f>COUNTA(T64:T69)</f>
        <v>6</v>
      </c>
      <c r="U70" s="154" t="str">
        <f>IF(Q70&gt;=SUM(R70:S70),"Corect","E trebuie să fie cel puțin egal cu C+VP")</f>
        <v>Corect</v>
      </c>
      <c r="V70" s="155"/>
    </row>
    <row r="71" spans="1:22" ht="21.75" customHeight="1">
      <c r="A71" s="44"/>
      <c r="B71" s="44"/>
      <c r="C71" s="44"/>
      <c r="D71" s="44"/>
      <c r="E71" s="44"/>
      <c r="F71" s="44"/>
      <c r="G71" s="44"/>
      <c r="H71" s="44"/>
      <c r="I71" s="44"/>
      <c r="J71" s="44"/>
      <c r="K71" s="44"/>
      <c r="L71" s="44"/>
      <c r="M71" s="44"/>
      <c r="N71" s="44"/>
      <c r="O71" s="44"/>
      <c r="P71" s="44"/>
      <c r="Q71" s="44"/>
      <c r="R71" s="44"/>
      <c r="S71" s="44"/>
      <c r="T71" s="44"/>
      <c r="U71" s="44"/>
      <c r="V71" s="44"/>
    </row>
    <row r="72" spans="1:22" ht="18.75" customHeight="1">
      <c r="A72" s="92" t="s">
        <v>108</v>
      </c>
      <c r="B72" s="92"/>
      <c r="C72" s="92"/>
      <c r="D72" s="92"/>
      <c r="E72" s="92"/>
      <c r="F72" s="92"/>
      <c r="G72" s="92"/>
      <c r="H72" s="92"/>
      <c r="I72" s="92"/>
      <c r="J72" s="92"/>
      <c r="K72" s="92"/>
      <c r="L72" s="92"/>
      <c r="M72" s="92"/>
      <c r="N72" s="92"/>
      <c r="O72" s="92"/>
      <c r="P72" s="92"/>
      <c r="Q72" s="92"/>
      <c r="R72" s="92"/>
      <c r="S72" s="92"/>
      <c r="T72" s="92"/>
      <c r="U72" s="44"/>
      <c r="V72" s="44"/>
    </row>
    <row r="73" spans="1:22" ht="24.75" customHeight="1">
      <c r="A73" s="94" t="s">
        <v>51</v>
      </c>
      <c r="B73" s="96" t="s">
        <v>52</v>
      </c>
      <c r="C73" s="97"/>
      <c r="D73" s="97"/>
      <c r="E73" s="97"/>
      <c r="F73" s="97"/>
      <c r="G73" s="97"/>
      <c r="H73" s="97"/>
      <c r="I73" s="98"/>
      <c r="J73" s="101" t="s">
        <v>53</v>
      </c>
      <c r="K73" s="142" t="s">
        <v>54</v>
      </c>
      <c r="L73" s="143"/>
      <c r="M73" s="144"/>
      <c r="N73" s="142" t="s">
        <v>55</v>
      </c>
      <c r="O73" s="158"/>
      <c r="P73" s="159"/>
      <c r="Q73" s="142" t="s">
        <v>56</v>
      </c>
      <c r="R73" s="143"/>
      <c r="S73" s="144"/>
      <c r="T73" s="149" t="s">
        <v>57</v>
      </c>
      <c r="U73" s="44"/>
      <c r="V73" s="44"/>
    </row>
    <row r="74" spans="1:22">
      <c r="A74" s="95"/>
      <c r="B74" s="99"/>
      <c r="C74" s="93"/>
      <c r="D74" s="93"/>
      <c r="E74" s="93"/>
      <c r="F74" s="93"/>
      <c r="G74" s="93"/>
      <c r="H74" s="93"/>
      <c r="I74" s="100"/>
      <c r="J74" s="102"/>
      <c r="K74" s="79" t="s">
        <v>59</v>
      </c>
      <c r="L74" s="79" t="s">
        <v>60</v>
      </c>
      <c r="M74" s="79" t="s">
        <v>61</v>
      </c>
      <c r="N74" s="79" t="s">
        <v>62</v>
      </c>
      <c r="O74" s="79" t="s">
        <v>37</v>
      </c>
      <c r="P74" s="79" t="s">
        <v>63</v>
      </c>
      <c r="Q74" s="79" t="s">
        <v>64</v>
      </c>
      <c r="R74" s="79" t="s">
        <v>59</v>
      </c>
      <c r="S74" s="79" t="s">
        <v>65</v>
      </c>
      <c r="T74" s="102"/>
      <c r="U74" s="44"/>
      <c r="V74" s="44"/>
    </row>
    <row r="75" spans="1:22" ht="51" customHeight="1">
      <c r="A75" s="28" t="s">
        <v>109</v>
      </c>
      <c r="B75" s="89" t="s">
        <v>110</v>
      </c>
      <c r="C75" s="90"/>
      <c r="D75" s="90"/>
      <c r="E75" s="90"/>
      <c r="F75" s="90"/>
      <c r="G75" s="90"/>
      <c r="H75" s="90"/>
      <c r="I75" s="91"/>
      <c r="J75" s="7">
        <v>7</v>
      </c>
      <c r="K75" s="7">
        <v>2</v>
      </c>
      <c r="L75" s="7">
        <v>2</v>
      </c>
      <c r="M75" s="7">
        <v>0</v>
      </c>
      <c r="N75" s="42">
        <f>K75+L75+M75</f>
        <v>4</v>
      </c>
      <c r="O75" s="15">
        <f>P75-N75</f>
        <v>11</v>
      </c>
      <c r="P75" s="15">
        <f>ROUND(PRODUCT(J75,25)/12,0)</f>
        <v>15</v>
      </c>
      <c r="Q75" s="18" t="s">
        <v>64</v>
      </c>
      <c r="R75" s="7"/>
      <c r="S75" s="19"/>
      <c r="T75" s="7" t="s">
        <v>47</v>
      </c>
      <c r="U75" s="44"/>
      <c r="V75" s="44"/>
    </row>
    <row r="76" spans="1:22" ht="28.7" customHeight="1">
      <c r="A76" s="28" t="s">
        <v>111</v>
      </c>
      <c r="B76" s="89" t="s">
        <v>112</v>
      </c>
      <c r="C76" s="90"/>
      <c r="D76" s="90"/>
      <c r="E76" s="90"/>
      <c r="F76" s="90"/>
      <c r="G76" s="90"/>
      <c r="H76" s="90"/>
      <c r="I76" s="91"/>
      <c r="J76" s="7">
        <v>10</v>
      </c>
      <c r="K76" s="7">
        <v>0</v>
      </c>
      <c r="L76" s="7">
        <v>0</v>
      </c>
      <c r="M76" s="7">
        <v>8</v>
      </c>
      <c r="N76" s="42">
        <f t="shared" ref="N76:N78" si="14">K76+L76+M76</f>
        <v>8</v>
      </c>
      <c r="O76" s="15">
        <f t="shared" ref="O76:O78" si="15">P76-N76</f>
        <v>13</v>
      </c>
      <c r="P76" s="15">
        <f t="shared" ref="P76:P78" si="16">ROUND(PRODUCT(J76,25)/12,0)</f>
        <v>21</v>
      </c>
      <c r="Q76" s="18"/>
      <c r="R76" s="7" t="s">
        <v>59</v>
      </c>
      <c r="S76" s="19"/>
      <c r="T76" s="7" t="s">
        <v>47</v>
      </c>
      <c r="U76" s="44"/>
      <c r="V76" s="44"/>
    </row>
    <row r="77" spans="1:22" ht="54" customHeight="1">
      <c r="A77" s="33" t="s">
        <v>113</v>
      </c>
      <c r="B77" s="136" t="s">
        <v>114</v>
      </c>
      <c r="C77" s="137"/>
      <c r="D77" s="137"/>
      <c r="E77" s="137"/>
      <c r="F77" s="137"/>
      <c r="G77" s="137"/>
      <c r="H77" s="137"/>
      <c r="I77" s="138"/>
      <c r="J77" s="34">
        <v>8</v>
      </c>
      <c r="K77" s="34">
        <v>0</v>
      </c>
      <c r="L77" s="34">
        <v>0</v>
      </c>
      <c r="M77" s="34">
        <v>5</v>
      </c>
      <c r="N77" s="35">
        <f t="shared" si="14"/>
        <v>5</v>
      </c>
      <c r="O77" s="36">
        <f t="shared" si="15"/>
        <v>12</v>
      </c>
      <c r="P77" s="36">
        <f t="shared" si="16"/>
        <v>17</v>
      </c>
      <c r="Q77" s="37"/>
      <c r="R77" s="34" t="s">
        <v>59</v>
      </c>
      <c r="S77" s="38"/>
      <c r="T77" s="34" t="s">
        <v>48</v>
      </c>
      <c r="U77" s="44"/>
      <c r="V77" s="44" t="s">
        <v>115</v>
      </c>
    </row>
    <row r="78" spans="1:22" ht="63.75" customHeight="1">
      <c r="A78" s="28" t="s">
        <v>116</v>
      </c>
      <c r="B78" s="89" t="s">
        <v>117</v>
      </c>
      <c r="C78" s="90"/>
      <c r="D78" s="90"/>
      <c r="E78" s="90"/>
      <c r="F78" s="90"/>
      <c r="G78" s="90"/>
      <c r="H78" s="90"/>
      <c r="I78" s="91"/>
      <c r="J78" s="7">
        <v>5</v>
      </c>
      <c r="K78" s="7">
        <v>2</v>
      </c>
      <c r="L78" s="7">
        <v>0</v>
      </c>
      <c r="M78" s="7">
        <v>0</v>
      </c>
      <c r="N78" s="42">
        <f t="shared" si="14"/>
        <v>2</v>
      </c>
      <c r="O78" s="15">
        <f t="shared" si="15"/>
        <v>8</v>
      </c>
      <c r="P78" s="15">
        <f t="shared" si="16"/>
        <v>10</v>
      </c>
      <c r="Q78" s="18"/>
      <c r="R78" s="7" t="s">
        <v>59</v>
      </c>
      <c r="S78" s="19"/>
      <c r="T78" s="7" t="s">
        <v>46</v>
      </c>
      <c r="U78" s="44"/>
      <c r="V78" s="44"/>
    </row>
    <row r="79" spans="1:22">
      <c r="A79" s="16" t="s">
        <v>81</v>
      </c>
      <c r="B79" s="150"/>
      <c r="C79" s="151"/>
      <c r="D79" s="151"/>
      <c r="E79" s="151"/>
      <c r="F79" s="151"/>
      <c r="G79" s="151"/>
      <c r="H79" s="151"/>
      <c r="I79" s="152"/>
      <c r="J79" s="16">
        <f t="shared" ref="J79:P79" si="17">SUM(J75:J78)</f>
        <v>30</v>
      </c>
      <c r="K79" s="16">
        <f t="shared" si="17"/>
        <v>4</v>
      </c>
      <c r="L79" s="16">
        <f t="shared" si="17"/>
        <v>2</v>
      </c>
      <c r="M79" s="16">
        <f t="shared" si="17"/>
        <v>13</v>
      </c>
      <c r="N79" s="16">
        <f t="shared" si="17"/>
        <v>19</v>
      </c>
      <c r="O79" s="16">
        <f t="shared" si="17"/>
        <v>44</v>
      </c>
      <c r="P79" s="16">
        <f t="shared" si="17"/>
        <v>63</v>
      </c>
      <c r="Q79" s="16">
        <f>COUNTIF(Q75:Q78,"E")</f>
        <v>1</v>
      </c>
      <c r="R79" s="16">
        <f>COUNTIF(R75:R78,"C")</f>
        <v>3</v>
      </c>
      <c r="S79" s="16">
        <f>COUNTIF(S75:S78,"VP")</f>
        <v>0</v>
      </c>
      <c r="T79" s="29">
        <f>COUNTA(T75:T78)</f>
        <v>4</v>
      </c>
      <c r="U79" s="154" t="str">
        <f>IF(Q79&gt;=SUM(R79:S79),"Corect","E trebuie să fie cel puțin egal cu C+VP")</f>
        <v>E trebuie să fie cel puțin egal cu C+VP</v>
      </c>
      <c r="V79" s="155"/>
    </row>
    <row r="80" spans="1:22" ht="16.5" customHeight="1">
      <c r="A80" s="44"/>
      <c r="B80" s="44"/>
      <c r="C80" s="44"/>
      <c r="D80" s="44"/>
      <c r="E80" s="44"/>
      <c r="F80" s="44"/>
      <c r="G80" s="44"/>
      <c r="H80" s="44"/>
      <c r="I80" s="44"/>
      <c r="J80" s="44"/>
      <c r="K80" s="44"/>
      <c r="L80" s="44"/>
      <c r="M80" s="44"/>
      <c r="N80" s="44"/>
      <c r="O80" s="44"/>
      <c r="P80" s="44"/>
      <c r="Q80" s="44"/>
      <c r="R80" s="44"/>
      <c r="S80" s="44"/>
      <c r="T80" s="44"/>
      <c r="U80" s="44"/>
      <c r="V80" s="44"/>
    </row>
    <row r="82" spans="1:22" s="31" customFormat="1" ht="19.5" customHeight="1">
      <c r="A82" s="93" t="s">
        <v>118</v>
      </c>
      <c r="B82" s="93"/>
      <c r="C82" s="93"/>
      <c r="D82" s="93"/>
      <c r="E82" s="93"/>
      <c r="F82" s="93"/>
      <c r="G82" s="93"/>
      <c r="H82" s="93"/>
      <c r="I82" s="93"/>
      <c r="J82" s="93"/>
      <c r="K82" s="93"/>
      <c r="L82" s="93"/>
      <c r="M82" s="93"/>
      <c r="N82" s="93"/>
      <c r="O82" s="93"/>
      <c r="P82" s="93"/>
      <c r="Q82" s="93"/>
      <c r="R82" s="93"/>
      <c r="S82" s="93"/>
      <c r="T82" s="93"/>
      <c r="U82" s="44"/>
      <c r="V82" s="44"/>
    </row>
    <row r="83" spans="1:22" s="31" customFormat="1" ht="27.75" customHeight="1">
      <c r="A83" s="94" t="s">
        <v>51</v>
      </c>
      <c r="B83" s="96" t="s">
        <v>52</v>
      </c>
      <c r="C83" s="97"/>
      <c r="D83" s="97"/>
      <c r="E83" s="97"/>
      <c r="F83" s="97"/>
      <c r="G83" s="97"/>
      <c r="H83" s="97"/>
      <c r="I83" s="98"/>
      <c r="J83" s="101" t="s">
        <v>53</v>
      </c>
      <c r="K83" s="103" t="s">
        <v>54</v>
      </c>
      <c r="L83" s="104"/>
      <c r="M83" s="105"/>
      <c r="N83" s="103" t="s">
        <v>55</v>
      </c>
      <c r="O83" s="104"/>
      <c r="P83" s="105"/>
      <c r="Q83" s="103" t="s">
        <v>56</v>
      </c>
      <c r="R83" s="104"/>
      <c r="S83" s="105"/>
      <c r="T83" s="101" t="s">
        <v>57</v>
      </c>
      <c r="U83" s="44"/>
      <c r="V83" s="44"/>
    </row>
    <row r="84" spans="1:22" s="31" customFormat="1" ht="12.75" customHeight="1">
      <c r="A84" s="95"/>
      <c r="B84" s="99"/>
      <c r="C84" s="93"/>
      <c r="D84" s="93"/>
      <c r="E84" s="93"/>
      <c r="F84" s="93"/>
      <c r="G84" s="93"/>
      <c r="H84" s="93"/>
      <c r="I84" s="100"/>
      <c r="J84" s="102"/>
      <c r="K84" s="79" t="s">
        <v>59</v>
      </c>
      <c r="L84" s="79" t="s">
        <v>60</v>
      </c>
      <c r="M84" s="79" t="s">
        <v>61</v>
      </c>
      <c r="N84" s="79" t="s">
        <v>62</v>
      </c>
      <c r="O84" s="79" t="s">
        <v>37</v>
      </c>
      <c r="P84" s="79" t="s">
        <v>63</v>
      </c>
      <c r="Q84" s="79" t="s">
        <v>64</v>
      </c>
      <c r="R84" s="79" t="s">
        <v>59</v>
      </c>
      <c r="S84" s="79" t="s">
        <v>65</v>
      </c>
      <c r="T84" s="102"/>
      <c r="U84" s="44"/>
      <c r="V84" s="44"/>
    </row>
    <row r="85" spans="1:22" s="31" customFormat="1">
      <c r="A85" s="116" t="s">
        <v>119</v>
      </c>
      <c r="B85" s="117"/>
      <c r="C85" s="117"/>
      <c r="D85" s="117"/>
      <c r="E85" s="117"/>
      <c r="F85" s="117"/>
      <c r="G85" s="117"/>
      <c r="H85" s="117"/>
      <c r="I85" s="117"/>
      <c r="J85" s="117"/>
      <c r="K85" s="117"/>
      <c r="L85" s="117"/>
      <c r="M85" s="117"/>
      <c r="N85" s="117"/>
      <c r="O85" s="117"/>
      <c r="P85" s="117"/>
      <c r="Q85" s="117"/>
      <c r="R85" s="117"/>
      <c r="S85" s="117"/>
      <c r="T85" s="118"/>
      <c r="U85" s="44"/>
      <c r="V85" s="44"/>
    </row>
    <row r="86" spans="1:22" s="31" customFormat="1" ht="28.7" customHeight="1">
      <c r="A86" s="43" t="s">
        <v>120</v>
      </c>
      <c r="B86" s="89" t="s">
        <v>121</v>
      </c>
      <c r="C86" s="90"/>
      <c r="D86" s="90"/>
      <c r="E86" s="90"/>
      <c r="F86" s="90"/>
      <c r="G86" s="90"/>
      <c r="H86" s="90"/>
      <c r="I86" s="91"/>
      <c r="J86" s="7">
        <v>3</v>
      </c>
      <c r="K86" s="7">
        <v>1</v>
      </c>
      <c r="L86" s="7">
        <v>1</v>
      </c>
      <c r="M86" s="7">
        <v>0</v>
      </c>
      <c r="N86" s="15">
        <f t="shared" ref="N86" si="18">K86+L86+M86</f>
        <v>2</v>
      </c>
      <c r="O86" s="15">
        <f t="shared" ref="O86" si="19">P86-N86</f>
        <v>3</v>
      </c>
      <c r="P86" s="15">
        <f t="shared" ref="P86" si="20">ROUND(PRODUCT(J86,25)/14,0)</f>
        <v>5</v>
      </c>
      <c r="Q86" s="20"/>
      <c r="R86" s="20" t="s">
        <v>59</v>
      </c>
      <c r="S86" s="21"/>
      <c r="T86" s="7" t="s">
        <v>44</v>
      </c>
      <c r="U86" s="44"/>
      <c r="V86" s="44"/>
    </row>
    <row r="87" spans="1:22" s="32" customFormat="1" ht="40.5" customHeight="1">
      <c r="A87" s="43" t="s">
        <v>122</v>
      </c>
      <c r="B87" s="89" t="s">
        <v>123</v>
      </c>
      <c r="C87" s="90"/>
      <c r="D87" s="90"/>
      <c r="E87" s="90"/>
      <c r="F87" s="90"/>
      <c r="G87" s="90"/>
      <c r="H87" s="90"/>
      <c r="I87" s="91"/>
      <c r="J87" s="7">
        <v>3</v>
      </c>
      <c r="K87" s="7">
        <v>1</v>
      </c>
      <c r="L87" s="7">
        <v>1</v>
      </c>
      <c r="M87" s="7">
        <v>0</v>
      </c>
      <c r="N87" s="15">
        <f t="shared" ref="N87:N91" si="21">K87+L87+M87</f>
        <v>2</v>
      </c>
      <c r="O87" s="15">
        <f t="shared" ref="O87:O91" si="22">P87-N87</f>
        <v>3</v>
      </c>
      <c r="P87" s="15">
        <f t="shared" ref="P87:P91" si="23">ROUND(PRODUCT(J87,25)/14,0)</f>
        <v>5</v>
      </c>
      <c r="Q87" s="20"/>
      <c r="R87" s="20" t="s">
        <v>59</v>
      </c>
      <c r="S87" s="21"/>
      <c r="T87" s="7" t="s">
        <v>44</v>
      </c>
      <c r="U87" s="44"/>
      <c r="V87" s="44"/>
    </row>
    <row r="88" spans="1:22" s="32" customFormat="1" ht="28.7" customHeight="1">
      <c r="A88" s="43" t="s">
        <v>124</v>
      </c>
      <c r="B88" s="89" t="s">
        <v>125</v>
      </c>
      <c r="C88" s="90"/>
      <c r="D88" s="90"/>
      <c r="E88" s="90"/>
      <c r="F88" s="90"/>
      <c r="G88" s="90"/>
      <c r="H88" s="90"/>
      <c r="I88" s="91"/>
      <c r="J88" s="7">
        <v>3</v>
      </c>
      <c r="K88" s="7">
        <v>1</v>
      </c>
      <c r="L88" s="7">
        <v>1</v>
      </c>
      <c r="M88" s="7">
        <v>0</v>
      </c>
      <c r="N88" s="15">
        <f t="shared" si="21"/>
        <v>2</v>
      </c>
      <c r="O88" s="15">
        <f t="shared" si="22"/>
        <v>3</v>
      </c>
      <c r="P88" s="15">
        <f t="shared" si="23"/>
        <v>5</v>
      </c>
      <c r="Q88" s="20"/>
      <c r="R88" s="20" t="s">
        <v>59</v>
      </c>
      <c r="S88" s="21"/>
      <c r="T88" s="7" t="s">
        <v>44</v>
      </c>
      <c r="U88" s="44"/>
      <c r="V88" s="40"/>
    </row>
    <row r="89" spans="1:22" s="32" customFormat="1" ht="28.7" customHeight="1">
      <c r="A89" s="43" t="s">
        <v>126</v>
      </c>
      <c r="B89" s="89" t="s">
        <v>127</v>
      </c>
      <c r="C89" s="90"/>
      <c r="D89" s="90"/>
      <c r="E89" s="90"/>
      <c r="F89" s="90"/>
      <c r="G89" s="90"/>
      <c r="H89" s="90"/>
      <c r="I89" s="91"/>
      <c r="J89" s="7">
        <v>3</v>
      </c>
      <c r="K89" s="7">
        <v>1</v>
      </c>
      <c r="L89" s="7">
        <v>1</v>
      </c>
      <c r="M89" s="7">
        <v>0</v>
      </c>
      <c r="N89" s="15">
        <f t="shared" si="21"/>
        <v>2</v>
      </c>
      <c r="O89" s="15">
        <f t="shared" si="22"/>
        <v>3</v>
      </c>
      <c r="P89" s="15">
        <f t="shared" si="23"/>
        <v>5</v>
      </c>
      <c r="Q89" s="20"/>
      <c r="R89" s="20" t="s">
        <v>59</v>
      </c>
      <c r="S89" s="21"/>
      <c r="T89" s="7" t="s">
        <v>44</v>
      </c>
      <c r="U89" s="44"/>
      <c r="V89" s="44" t="s">
        <v>128</v>
      </c>
    </row>
    <row r="90" spans="1:22" s="32" customFormat="1" ht="34.5" customHeight="1">
      <c r="A90" s="43" t="s">
        <v>129</v>
      </c>
      <c r="B90" s="89" t="s">
        <v>130</v>
      </c>
      <c r="C90" s="90"/>
      <c r="D90" s="90"/>
      <c r="E90" s="90"/>
      <c r="F90" s="90"/>
      <c r="G90" s="90"/>
      <c r="H90" s="90"/>
      <c r="I90" s="91"/>
      <c r="J90" s="7">
        <v>3</v>
      </c>
      <c r="K90" s="7">
        <v>1</v>
      </c>
      <c r="L90" s="7">
        <v>1</v>
      </c>
      <c r="M90" s="7">
        <v>0</v>
      </c>
      <c r="N90" s="15">
        <f t="shared" si="21"/>
        <v>2</v>
      </c>
      <c r="O90" s="15">
        <f t="shared" si="22"/>
        <v>3</v>
      </c>
      <c r="P90" s="15">
        <f t="shared" si="23"/>
        <v>5</v>
      </c>
      <c r="Q90" s="20"/>
      <c r="R90" s="20" t="s">
        <v>59</v>
      </c>
      <c r="S90" s="21"/>
      <c r="T90" s="7" t="s">
        <v>44</v>
      </c>
      <c r="U90" s="44"/>
      <c r="V90" s="44"/>
    </row>
    <row r="91" spans="1:22" s="31" customFormat="1" ht="43.5" customHeight="1">
      <c r="A91" s="43" t="s">
        <v>131</v>
      </c>
      <c r="B91" s="146" t="s">
        <v>132</v>
      </c>
      <c r="C91" s="147"/>
      <c r="D91" s="147"/>
      <c r="E91" s="147"/>
      <c r="F91" s="147"/>
      <c r="G91" s="147"/>
      <c r="H91" s="147"/>
      <c r="I91" s="148"/>
      <c r="J91" s="7">
        <v>3</v>
      </c>
      <c r="K91" s="7">
        <v>1</v>
      </c>
      <c r="L91" s="7">
        <v>1</v>
      </c>
      <c r="M91" s="7">
        <v>0</v>
      </c>
      <c r="N91" s="15">
        <f t="shared" si="21"/>
        <v>2</v>
      </c>
      <c r="O91" s="15">
        <f t="shared" si="22"/>
        <v>3</v>
      </c>
      <c r="P91" s="15">
        <f t="shared" si="23"/>
        <v>5</v>
      </c>
      <c r="Q91" s="20"/>
      <c r="R91" s="20" t="s">
        <v>59</v>
      </c>
      <c r="S91" s="21"/>
      <c r="T91" s="7" t="s">
        <v>44</v>
      </c>
      <c r="U91" s="44"/>
      <c r="V91" s="44"/>
    </row>
    <row r="92" spans="1:22" s="44" customFormat="1" ht="29.25" customHeight="1">
      <c r="A92" s="43" t="s">
        <v>133</v>
      </c>
      <c r="B92" s="146" t="s">
        <v>134</v>
      </c>
      <c r="C92" s="147"/>
      <c r="D92" s="147"/>
      <c r="E92" s="147"/>
      <c r="F92" s="147"/>
      <c r="G92" s="147"/>
      <c r="H92" s="147"/>
      <c r="I92" s="148"/>
      <c r="J92" s="7">
        <v>3</v>
      </c>
      <c r="K92" s="7">
        <v>1</v>
      </c>
      <c r="L92" s="7">
        <v>1</v>
      </c>
      <c r="M92" s="7">
        <v>0</v>
      </c>
      <c r="N92" s="15">
        <f t="shared" ref="N92" si="24">K92+L92+M92</f>
        <v>2</v>
      </c>
      <c r="O92" s="15">
        <f t="shared" ref="O92" si="25">P92-N92</f>
        <v>3</v>
      </c>
      <c r="P92" s="15">
        <f t="shared" ref="P92" si="26">ROUND(PRODUCT(J92,25)/14,0)</f>
        <v>5</v>
      </c>
      <c r="Q92" s="20"/>
      <c r="R92" s="20" t="s">
        <v>59</v>
      </c>
      <c r="S92" s="21"/>
      <c r="T92" s="7" t="s">
        <v>44</v>
      </c>
    </row>
    <row r="93" spans="1:22" s="31" customFormat="1">
      <c r="A93" s="116" t="s">
        <v>135</v>
      </c>
      <c r="B93" s="117"/>
      <c r="C93" s="117"/>
      <c r="D93" s="117"/>
      <c r="E93" s="117"/>
      <c r="F93" s="117"/>
      <c r="G93" s="117"/>
      <c r="H93" s="117"/>
      <c r="I93" s="117"/>
      <c r="J93" s="117"/>
      <c r="K93" s="117"/>
      <c r="L93" s="117"/>
      <c r="M93" s="117"/>
      <c r="N93" s="117"/>
      <c r="O93" s="117"/>
      <c r="P93" s="117"/>
      <c r="Q93" s="117"/>
      <c r="R93" s="117"/>
      <c r="S93" s="117"/>
      <c r="T93" s="118"/>
      <c r="U93" s="44"/>
      <c r="V93" s="44"/>
    </row>
    <row r="94" spans="1:22" s="30" customFormat="1" ht="28.7" customHeight="1">
      <c r="A94" s="63" t="s">
        <v>136</v>
      </c>
      <c r="B94" s="160" t="s">
        <v>137</v>
      </c>
      <c r="C94" s="161"/>
      <c r="D94" s="161"/>
      <c r="E94" s="161"/>
      <c r="F94" s="161"/>
      <c r="G94" s="161"/>
      <c r="H94" s="161"/>
      <c r="I94" s="162"/>
      <c r="J94" s="67">
        <v>5</v>
      </c>
      <c r="K94" s="77">
        <v>1</v>
      </c>
      <c r="L94" s="67">
        <v>1</v>
      </c>
      <c r="M94" s="67">
        <v>0</v>
      </c>
      <c r="N94" s="65">
        <f t="shared" ref="N94:N95" si="27">K94+L94+M94</f>
        <v>2</v>
      </c>
      <c r="O94" s="65">
        <f t="shared" ref="O94:O95" si="28">P94-N94</f>
        <v>7</v>
      </c>
      <c r="P94" s="65">
        <f t="shared" ref="P94:P95" si="29">ROUND(PRODUCT(J94,25)/14,0)</f>
        <v>9</v>
      </c>
      <c r="Q94" s="64"/>
      <c r="R94" s="64" t="s">
        <v>59</v>
      </c>
      <c r="S94" s="66"/>
      <c r="T94" s="67" t="s">
        <v>46</v>
      </c>
    </row>
    <row r="95" spans="1:22" s="30" customFormat="1" ht="44.25" customHeight="1">
      <c r="A95" s="63" t="s">
        <v>138</v>
      </c>
      <c r="B95" s="160" t="s">
        <v>139</v>
      </c>
      <c r="C95" s="161"/>
      <c r="D95" s="161"/>
      <c r="E95" s="161"/>
      <c r="F95" s="161"/>
      <c r="G95" s="161"/>
      <c r="H95" s="161"/>
      <c r="I95" s="162"/>
      <c r="J95" s="67">
        <v>5</v>
      </c>
      <c r="K95" s="77">
        <v>1</v>
      </c>
      <c r="L95" s="67">
        <v>1</v>
      </c>
      <c r="M95" s="67">
        <v>0</v>
      </c>
      <c r="N95" s="65">
        <f t="shared" si="27"/>
        <v>2</v>
      </c>
      <c r="O95" s="65">
        <f t="shared" si="28"/>
        <v>7</v>
      </c>
      <c r="P95" s="65">
        <f t="shared" si="29"/>
        <v>9</v>
      </c>
      <c r="Q95" s="64"/>
      <c r="R95" s="64" t="s">
        <v>59</v>
      </c>
      <c r="S95" s="66"/>
      <c r="T95" s="67" t="s">
        <v>46</v>
      </c>
    </row>
    <row r="96" spans="1:22" s="31" customFormat="1" ht="24.75" customHeight="1">
      <c r="A96" s="121" t="s">
        <v>140</v>
      </c>
      <c r="B96" s="122"/>
      <c r="C96" s="122"/>
      <c r="D96" s="122"/>
      <c r="E96" s="122"/>
      <c r="F96" s="122"/>
      <c r="G96" s="122"/>
      <c r="H96" s="122"/>
      <c r="I96" s="123"/>
      <c r="J96" s="17">
        <f t="shared" ref="J96:P96" si="30">SUM(J86,J94)</f>
        <v>8</v>
      </c>
      <c r="K96" s="17">
        <f>SUM(K86,K94)</f>
        <v>2</v>
      </c>
      <c r="L96" s="17">
        <f t="shared" si="30"/>
        <v>2</v>
      </c>
      <c r="M96" s="17">
        <f t="shared" si="30"/>
        <v>0</v>
      </c>
      <c r="N96" s="17">
        <f t="shared" si="30"/>
        <v>4</v>
      </c>
      <c r="O96" s="17">
        <f t="shared" si="30"/>
        <v>10</v>
      </c>
      <c r="P96" s="17">
        <f t="shared" si="30"/>
        <v>14</v>
      </c>
      <c r="Q96" s="17">
        <f>COUNTIF(Q86,"E")+COUNTIF(Q94,"E")</f>
        <v>0</v>
      </c>
      <c r="R96" s="17">
        <f>COUNTIF(R86,"C")+COUNTIF(R94,"C")</f>
        <v>2</v>
      </c>
      <c r="S96" s="17">
        <f>COUNTIF(S86,"VP")+COUNTIF(S94,"VP")</f>
        <v>0</v>
      </c>
      <c r="T96" s="62">
        <v>0.09</v>
      </c>
      <c r="U96" s="44"/>
      <c r="V96" s="44"/>
    </row>
    <row r="97" spans="1:23" s="31" customFormat="1" ht="13.5" customHeight="1">
      <c r="A97" s="124" t="s">
        <v>141</v>
      </c>
      <c r="B97" s="125"/>
      <c r="C97" s="125"/>
      <c r="D97" s="125"/>
      <c r="E97" s="125"/>
      <c r="F97" s="125"/>
      <c r="G97" s="125"/>
      <c r="H97" s="125"/>
      <c r="I97" s="125"/>
      <c r="J97" s="126"/>
      <c r="K97" s="17">
        <f t="shared" ref="K97:P97" si="31">K86*14+K94*12</f>
        <v>26</v>
      </c>
      <c r="L97" s="17">
        <f t="shared" si="31"/>
        <v>26</v>
      </c>
      <c r="M97" s="17">
        <f t="shared" si="31"/>
        <v>0</v>
      </c>
      <c r="N97" s="17">
        <f t="shared" si="31"/>
        <v>52</v>
      </c>
      <c r="O97" s="17">
        <f t="shared" si="31"/>
        <v>126</v>
      </c>
      <c r="P97" s="17">
        <f t="shared" si="31"/>
        <v>178</v>
      </c>
      <c r="Q97" s="130"/>
      <c r="R97" s="131"/>
      <c r="S97" s="131"/>
      <c r="T97" s="132"/>
      <c r="U97" s="44"/>
      <c r="V97" s="44"/>
      <c r="W97" s="44"/>
    </row>
    <row r="98" spans="1:23" s="31" customFormat="1">
      <c r="A98" s="127"/>
      <c r="B98" s="128"/>
      <c r="C98" s="128"/>
      <c r="D98" s="128"/>
      <c r="E98" s="128"/>
      <c r="F98" s="128"/>
      <c r="G98" s="128"/>
      <c r="H98" s="128"/>
      <c r="I98" s="128"/>
      <c r="J98" s="129"/>
      <c r="K98" s="163">
        <f>SUM(K97:M97)</f>
        <v>52</v>
      </c>
      <c r="L98" s="164"/>
      <c r="M98" s="165"/>
      <c r="N98" s="166">
        <f>SUM(N97:O97)</f>
        <v>178</v>
      </c>
      <c r="O98" s="167"/>
      <c r="P98" s="168"/>
      <c r="Q98" s="133"/>
      <c r="R98" s="134"/>
      <c r="S98" s="134"/>
      <c r="T98" s="135"/>
      <c r="U98" s="44"/>
      <c r="V98" s="44"/>
      <c r="W98" s="44"/>
    </row>
    <row r="99" spans="1:23" s="31" customFormat="1">
      <c r="A99" s="8"/>
      <c r="B99" s="8"/>
      <c r="C99" s="8"/>
      <c r="D99" s="8"/>
      <c r="E99" s="8"/>
      <c r="F99" s="8"/>
      <c r="G99" s="8"/>
      <c r="H99" s="8"/>
      <c r="I99" s="8"/>
      <c r="J99" s="8"/>
      <c r="K99" s="9"/>
      <c r="L99" s="9"/>
      <c r="M99" s="9"/>
      <c r="N99" s="10"/>
      <c r="O99" s="10"/>
      <c r="P99" s="10"/>
      <c r="Q99" s="11"/>
      <c r="R99" s="11"/>
      <c r="S99" s="11"/>
      <c r="T99" s="11"/>
      <c r="U99" s="44"/>
      <c r="V99" s="44"/>
      <c r="W99" s="44"/>
    </row>
    <row r="100" spans="1:23" s="31" customFormat="1" ht="12.75" customHeight="1">
      <c r="A100" s="44"/>
      <c r="B100" s="85"/>
      <c r="C100" s="85"/>
      <c r="D100" s="85"/>
      <c r="E100" s="85"/>
      <c r="F100" s="85"/>
      <c r="G100" s="85"/>
      <c r="H100" s="44"/>
      <c r="I100" s="44"/>
      <c r="J100" s="44"/>
      <c r="K100" s="44"/>
      <c r="L100" s="44"/>
      <c r="M100" s="84"/>
      <c r="N100" s="84"/>
      <c r="O100" s="84"/>
      <c r="P100" s="84"/>
      <c r="Q100" s="84"/>
      <c r="R100" s="84"/>
      <c r="S100" s="84"/>
      <c r="T100" s="44"/>
      <c r="U100" s="44"/>
      <c r="V100" s="44"/>
      <c r="W100" s="44"/>
    </row>
    <row r="101" spans="1:23" s="31" customFormat="1" ht="15.75" customHeight="1">
      <c r="A101" s="93" t="s">
        <v>142</v>
      </c>
      <c r="B101" s="93"/>
      <c r="C101" s="93"/>
      <c r="D101" s="93"/>
      <c r="E101" s="93"/>
      <c r="F101" s="93"/>
      <c r="G101" s="93"/>
      <c r="H101" s="93"/>
      <c r="I101" s="93"/>
      <c r="J101" s="93"/>
      <c r="K101" s="93"/>
      <c r="L101" s="93"/>
      <c r="M101" s="93"/>
      <c r="N101" s="93"/>
      <c r="O101" s="93"/>
      <c r="P101" s="93"/>
      <c r="Q101" s="93"/>
      <c r="R101" s="93"/>
      <c r="S101" s="93"/>
      <c r="T101" s="93"/>
      <c r="U101" s="44"/>
      <c r="V101" s="44"/>
      <c r="W101" s="44"/>
    </row>
    <row r="102" spans="1:23" s="31" customFormat="1" ht="28.5" customHeight="1">
      <c r="A102" s="94" t="s">
        <v>51</v>
      </c>
      <c r="B102" s="96" t="s">
        <v>52</v>
      </c>
      <c r="C102" s="97"/>
      <c r="D102" s="97"/>
      <c r="E102" s="97"/>
      <c r="F102" s="97"/>
      <c r="G102" s="97"/>
      <c r="H102" s="97"/>
      <c r="I102" s="98"/>
      <c r="J102" s="101" t="s">
        <v>53</v>
      </c>
      <c r="K102" s="103" t="s">
        <v>54</v>
      </c>
      <c r="L102" s="104"/>
      <c r="M102" s="105"/>
      <c r="N102" s="103" t="s">
        <v>55</v>
      </c>
      <c r="O102" s="104"/>
      <c r="P102" s="105"/>
      <c r="Q102" s="103" t="s">
        <v>56</v>
      </c>
      <c r="R102" s="104"/>
      <c r="S102" s="105"/>
      <c r="T102" s="101" t="s">
        <v>57</v>
      </c>
      <c r="U102" s="44"/>
      <c r="V102" s="44"/>
      <c r="W102" s="44"/>
    </row>
    <row r="103" spans="1:23" s="31" customFormat="1" ht="21.75" customHeight="1">
      <c r="A103" s="95"/>
      <c r="B103" s="99"/>
      <c r="C103" s="93"/>
      <c r="D103" s="93"/>
      <c r="E103" s="93"/>
      <c r="F103" s="93"/>
      <c r="G103" s="93"/>
      <c r="H103" s="93"/>
      <c r="I103" s="100"/>
      <c r="J103" s="102"/>
      <c r="K103" s="79" t="s">
        <v>59</v>
      </c>
      <c r="L103" s="79" t="s">
        <v>60</v>
      </c>
      <c r="M103" s="79" t="s">
        <v>61</v>
      </c>
      <c r="N103" s="79" t="s">
        <v>62</v>
      </c>
      <c r="O103" s="79" t="s">
        <v>37</v>
      </c>
      <c r="P103" s="79" t="s">
        <v>63</v>
      </c>
      <c r="Q103" s="79" t="s">
        <v>64</v>
      </c>
      <c r="R103" s="79" t="s">
        <v>59</v>
      </c>
      <c r="S103" s="79" t="s">
        <v>65</v>
      </c>
      <c r="T103" s="102"/>
      <c r="U103" s="44"/>
      <c r="V103" s="44"/>
      <c r="W103" s="44"/>
    </row>
    <row r="104" spans="1:23" s="31" customFormat="1" ht="16.5" customHeight="1">
      <c r="A104" s="113" t="s">
        <v>143</v>
      </c>
      <c r="B104" s="114"/>
      <c r="C104" s="114"/>
      <c r="D104" s="114"/>
      <c r="E104" s="114"/>
      <c r="F104" s="114"/>
      <c r="G104" s="114"/>
      <c r="H104" s="114"/>
      <c r="I104" s="114"/>
      <c r="J104" s="114"/>
      <c r="K104" s="114"/>
      <c r="L104" s="114"/>
      <c r="M104" s="114"/>
      <c r="N104" s="114"/>
      <c r="O104" s="114"/>
      <c r="P104" s="114"/>
      <c r="Q104" s="114"/>
      <c r="R104" s="114"/>
      <c r="S104" s="114"/>
      <c r="T104" s="115"/>
      <c r="U104" s="44"/>
      <c r="V104" s="44"/>
      <c r="W104" s="44"/>
    </row>
    <row r="105" spans="1:23" s="30" customFormat="1" ht="30" customHeight="1">
      <c r="A105" s="63" t="s">
        <v>144</v>
      </c>
      <c r="B105" s="110" t="s">
        <v>145</v>
      </c>
      <c r="C105" s="111"/>
      <c r="D105" s="111"/>
      <c r="E105" s="111"/>
      <c r="F105" s="111"/>
      <c r="G105" s="111"/>
      <c r="H105" s="111"/>
      <c r="I105" s="112"/>
      <c r="J105" s="64">
        <v>5</v>
      </c>
      <c r="K105" s="64">
        <v>2</v>
      </c>
      <c r="L105" s="64">
        <v>1</v>
      </c>
      <c r="M105" s="64">
        <v>0</v>
      </c>
      <c r="N105" s="65">
        <f>K105+L105+M105</f>
        <v>3</v>
      </c>
      <c r="O105" s="65">
        <f>P105-N105</f>
        <v>6</v>
      </c>
      <c r="P105" s="65">
        <f>ROUND(PRODUCT(J105,25)/14,0)</f>
        <v>9</v>
      </c>
      <c r="Q105" s="64"/>
      <c r="R105" s="64" t="s">
        <v>59</v>
      </c>
      <c r="S105" s="66"/>
      <c r="T105" s="67" t="s">
        <v>46</v>
      </c>
      <c r="U105" s="68"/>
      <c r="V105" s="68" t="s">
        <v>146</v>
      </c>
      <c r="W105" s="68"/>
    </row>
    <row r="106" spans="1:23" s="44" customFormat="1" ht="28.9" customHeight="1">
      <c r="A106" s="50" t="s">
        <v>147</v>
      </c>
      <c r="B106" s="107" t="s">
        <v>148</v>
      </c>
      <c r="C106" s="108"/>
      <c r="D106" s="108"/>
      <c r="E106" s="108"/>
      <c r="F106" s="108"/>
      <c r="G106" s="108"/>
      <c r="H106" s="108"/>
      <c r="I106" s="109"/>
      <c r="J106" s="20">
        <v>5</v>
      </c>
      <c r="K106" s="20">
        <v>2</v>
      </c>
      <c r="L106" s="20">
        <v>1</v>
      </c>
      <c r="M106" s="20">
        <v>0</v>
      </c>
      <c r="N106" s="46">
        <f t="shared" ref="N106" si="32">K106+L106+M106</f>
        <v>3</v>
      </c>
      <c r="O106" s="46">
        <f t="shared" ref="O106" si="33">P106-N106</f>
        <v>6</v>
      </c>
      <c r="P106" s="46">
        <f t="shared" ref="P106" si="34">ROUND(PRODUCT(J106,25)/14,0)</f>
        <v>9</v>
      </c>
      <c r="Q106" s="20"/>
      <c r="R106" s="20" t="s">
        <v>59</v>
      </c>
      <c r="S106" s="21"/>
      <c r="T106" s="7" t="s">
        <v>46</v>
      </c>
      <c r="U106" s="84"/>
      <c r="V106" s="84" t="s">
        <v>146</v>
      </c>
      <c r="W106" s="84"/>
    </row>
    <row r="107" spans="1:23" s="31" customFormat="1" ht="12.75" customHeight="1">
      <c r="A107" s="116" t="s">
        <v>149</v>
      </c>
      <c r="B107" s="117"/>
      <c r="C107" s="117"/>
      <c r="D107" s="117"/>
      <c r="E107" s="117"/>
      <c r="F107" s="117"/>
      <c r="G107" s="117"/>
      <c r="H107" s="117"/>
      <c r="I107" s="117"/>
      <c r="J107" s="117"/>
      <c r="K107" s="117"/>
      <c r="L107" s="117"/>
      <c r="M107" s="117"/>
      <c r="N107" s="117"/>
      <c r="O107" s="117"/>
      <c r="P107" s="117"/>
      <c r="Q107" s="117"/>
      <c r="R107" s="117"/>
      <c r="S107" s="117"/>
      <c r="T107" s="118"/>
      <c r="U107" s="44"/>
      <c r="V107" s="44"/>
      <c r="W107" s="44"/>
    </row>
    <row r="108" spans="1:23" s="44" customFormat="1" ht="27.75" customHeight="1">
      <c r="A108" s="50" t="s">
        <v>150</v>
      </c>
      <c r="B108" s="107" t="s">
        <v>151</v>
      </c>
      <c r="C108" s="119"/>
      <c r="D108" s="119"/>
      <c r="E108" s="119"/>
      <c r="F108" s="119"/>
      <c r="G108" s="119"/>
      <c r="H108" s="119"/>
      <c r="I108" s="120"/>
      <c r="J108" s="58">
        <v>5</v>
      </c>
      <c r="K108" s="58">
        <v>2</v>
      </c>
      <c r="L108" s="58">
        <v>1</v>
      </c>
      <c r="M108" s="58">
        <v>1</v>
      </c>
      <c r="N108" s="59">
        <f t="shared" ref="N108:N109" si="35">K108+L108+M108</f>
        <v>4</v>
      </c>
      <c r="O108" s="59">
        <f t="shared" ref="O108:O109" si="36">P108-N108</f>
        <v>5</v>
      </c>
      <c r="P108" s="59">
        <f t="shared" ref="P108:P109" si="37">ROUND(PRODUCT(J108,25)/14,0)</f>
        <v>9</v>
      </c>
      <c r="Q108" s="58" t="s">
        <v>64</v>
      </c>
      <c r="R108" s="58"/>
      <c r="S108" s="60"/>
      <c r="T108" s="7" t="s">
        <v>46</v>
      </c>
      <c r="U108" s="57"/>
      <c r="V108" s="84" t="s">
        <v>146</v>
      </c>
      <c r="W108" s="84"/>
    </row>
    <row r="109" spans="1:23" s="44" customFormat="1" ht="52.5" customHeight="1">
      <c r="A109" s="50" t="s">
        <v>152</v>
      </c>
      <c r="B109" s="107" t="s">
        <v>153</v>
      </c>
      <c r="C109" s="119"/>
      <c r="D109" s="119"/>
      <c r="E109" s="119"/>
      <c r="F109" s="119"/>
      <c r="G109" s="119"/>
      <c r="H109" s="119"/>
      <c r="I109" s="120"/>
      <c r="J109" s="58">
        <v>5</v>
      </c>
      <c r="K109" s="58">
        <v>2</v>
      </c>
      <c r="L109" s="58">
        <v>1</v>
      </c>
      <c r="M109" s="58">
        <v>2</v>
      </c>
      <c r="N109" s="59">
        <f t="shared" si="35"/>
        <v>5</v>
      </c>
      <c r="O109" s="59">
        <f t="shared" si="36"/>
        <v>4</v>
      </c>
      <c r="P109" s="59">
        <f t="shared" si="37"/>
        <v>9</v>
      </c>
      <c r="Q109" s="58" t="s">
        <v>64</v>
      </c>
      <c r="R109" s="58"/>
      <c r="S109" s="60"/>
      <c r="T109" s="7" t="s">
        <v>46</v>
      </c>
      <c r="U109" s="57"/>
      <c r="V109" s="84" t="s">
        <v>146</v>
      </c>
      <c r="W109" s="84"/>
    </row>
    <row r="110" spans="1:23" s="31" customFormat="1" ht="12.75" customHeight="1">
      <c r="A110" s="116" t="s">
        <v>154</v>
      </c>
      <c r="B110" s="117"/>
      <c r="C110" s="117"/>
      <c r="D110" s="117"/>
      <c r="E110" s="117"/>
      <c r="F110" s="117"/>
      <c r="G110" s="117"/>
      <c r="H110" s="117"/>
      <c r="I110" s="117"/>
      <c r="J110" s="117"/>
      <c r="K110" s="117"/>
      <c r="L110" s="117"/>
      <c r="M110" s="117"/>
      <c r="N110" s="117"/>
      <c r="O110" s="117"/>
      <c r="P110" s="117"/>
      <c r="Q110" s="117"/>
      <c r="R110" s="117"/>
      <c r="S110" s="117"/>
      <c r="T110" s="118"/>
      <c r="U110" s="44"/>
      <c r="V110" s="44"/>
      <c r="W110" s="44"/>
    </row>
    <row r="111" spans="1:23" s="30" customFormat="1" ht="41.45" customHeight="1">
      <c r="A111" s="63" t="s">
        <v>76</v>
      </c>
      <c r="B111" s="247" t="s">
        <v>155</v>
      </c>
      <c r="C111" s="248"/>
      <c r="D111" s="248"/>
      <c r="E111" s="248"/>
      <c r="F111" s="248"/>
      <c r="G111" s="248"/>
      <c r="H111" s="248"/>
      <c r="I111" s="249"/>
      <c r="J111" s="64">
        <v>5</v>
      </c>
      <c r="K111" s="64">
        <v>2</v>
      </c>
      <c r="L111" s="64">
        <v>0</v>
      </c>
      <c r="M111" s="64">
        <v>1</v>
      </c>
      <c r="N111" s="65">
        <f t="shared" ref="N111:N113" si="38">K111+L111+M111</f>
        <v>3</v>
      </c>
      <c r="O111" s="65">
        <f t="shared" ref="O111:O113" si="39">P111-N111</f>
        <v>6</v>
      </c>
      <c r="P111" s="65">
        <f t="shared" ref="P111:P113" si="40">ROUND(PRODUCT(J111,25)/14,0)</f>
        <v>9</v>
      </c>
      <c r="Q111" s="64"/>
      <c r="R111" s="64" t="s">
        <v>59</v>
      </c>
      <c r="S111" s="66"/>
      <c r="T111" s="67" t="s">
        <v>46</v>
      </c>
      <c r="U111" s="68"/>
      <c r="V111" s="68" t="s">
        <v>146</v>
      </c>
      <c r="W111" s="68"/>
    </row>
    <row r="112" spans="1:23" s="30" customFormat="1" ht="33.75" customHeight="1">
      <c r="A112" s="63" t="s">
        <v>156</v>
      </c>
      <c r="B112" s="160" t="s">
        <v>157</v>
      </c>
      <c r="C112" s="161"/>
      <c r="D112" s="161"/>
      <c r="E112" s="161"/>
      <c r="F112" s="161"/>
      <c r="G112" s="161"/>
      <c r="H112" s="161"/>
      <c r="I112" s="162"/>
      <c r="J112" s="64">
        <v>5</v>
      </c>
      <c r="K112" s="64">
        <v>2</v>
      </c>
      <c r="L112" s="64">
        <v>0</v>
      </c>
      <c r="M112" s="64">
        <v>1</v>
      </c>
      <c r="N112" s="65">
        <f t="shared" ref="N112" si="41">K112+L112+M112</f>
        <v>3</v>
      </c>
      <c r="O112" s="65">
        <f t="shared" ref="O112" si="42">P112-N112</f>
        <v>6</v>
      </c>
      <c r="P112" s="65">
        <f t="shared" ref="P112" si="43">ROUND(PRODUCT(J112,25)/14,0)</f>
        <v>9</v>
      </c>
      <c r="Q112" s="64"/>
      <c r="R112" s="64" t="s">
        <v>59</v>
      </c>
      <c r="S112" s="66"/>
      <c r="T112" s="67" t="s">
        <v>46</v>
      </c>
      <c r="U112" s="68"/>
      <c r="V112" s="68" t="s">
        <v>146</v>
      </c>
      <c r="W112" s="68"/>
    </row>
    <row r="113" spans="1:23" s="44" customFormat="1" ht="33.75" customHeight="1">
      <c r="A113" s="50" t="s">
        <v>158</v>
      </c>
      <c r="B113" s="89" t="s">
        <v>159</v>
      </c>
      <c r="C113" s="90"/>
      <c r="D113" s="90"/>
      <c r="E113" s="90"/>
      <c r="F113" s="90"/>
      <c r="G113" s="90"/>
      <c r="H113" s="90"/>
      <c r="I113" s="91"/>
      <c r="J113" s="20">
        <v>5</v>
      </c>
      <c r="K113" s="20">
        <v>2</v>
      </c>
      <c r="L113" s="20">
        <v>1</v>
      </c>
      <c r="M113" s="20">
        <v>0</v>
      </c>
      <c r="N113" s="46">
        <f t="shared" si="38"/>
        <v>3</v>
      </c>
      <c r="O113" s="46">
        <f t="shared" si="39"/>
        <v>6</v>
      </c>
      <c r="P113" s="46">
        <f t="shared" si="40"/>
        <v>9</v>
      </c>
      <c r="Q113" s="20"/>
      <c r="R113" s="20" t="s">
        <v>59</v>
      </c>
      <c r="S113" s="21"/>
      <c r="T113" s="7" t="s">
        <v>46</v>
      </c>
      <c r="U113" s="84"/>
      <c r="V113" s="84" t="s">
        <v>146</v>
      </c>
      <c r="W113" s="84"/>
    </row>
    <row r="114" spans="1:23" s="31" customFormat="1" ht="15.75" customHeight="1">
      <c r="A114" s="116" t="s">
        <v>160</v>
      </c>
      <c r="B114" s="117"/>
      <c r="C114" s="117"/>
      <c r="D114" s="117"/>
      <c r="E114" s="117"/>
      <c r="F114" s="117"/>
      <c r="G114" s="117"/>
      <c r="H114" s="117"/>
      <c r="I114" s="117"/>
      <c r="J114" s="117"/>
      <c r="K114" s="117"/>
      <c r="L114" s="117"/>
      <c r="M114" s="117"/>
      <c r="N114" s="117"/>
      <c r="O114" s="117"/>
      <c r="P114" s="117"/>
      <c r="Q114" s="117"/>
      <c r="R114" s="117"/>
      <c r="S114" s="117"/>
      <c r="T114" s="118"/>
      <c r="U114" s="44"/>
      <c r="V114" s="44"/>
      <c r="W114" s="44"/>
    </row>
    <row r="115" spans="1:23" s="44" customFormat="1" ht="34.9" customHeight="1">
      <c r="A115" s="50" t="s">
        <v>161</v>
      </c>
      <c r="B115" s="89" t="s">
        <v>162</v>
      </c>
      <c r="C115" s="90"/>
      <c r="D115" s="90"/>
      <c r="E115" s="90"/>
      <c r="F115" s="90"/>
      <c r="G115" s="90"/>
      <c r="H115" s="90"/>
      <c r="I115" s="91"/>
      <c r="J115" s="20">
        <v>5</v>
      </c>
      <c r="K115" s="20">
        <v>2</v>
      </c>
      <c r="L115" s="20">
        <v>1</v>
      </c>
      <c r="M115" s="20">
        <v>2</v>
      </c>
      <c r="N115" s="46">
        <f t="shared" ref="N115" si="44">K115+L115+M115</f>
        <v>5</v>
      </c>
      <c r="O115" s="46">
        <f t="shared" ref="O115" si="45">P115-N115</f>
        <v>5</v>
      </c>
      <c r="P115" s="46">
        <f t="shared" ref="P115" si="46">ROUND(PRODUCT(J115,25)/12,0)</f>
        <v>10</v>
      </c>
      <c r="Q115" s="20"/>
      <c r="R115" s="20" t="s">
        <v>59</v>
      </c>
      <c r="S115" s="21"/>
      <c r="T115" s="7" t="s">
        <v>46</v>
      </c>
      <c r="U115" s="84"/>
      <c r="V115" s="84" t="s">
        <v>146</v>
      </c>
      <c r="W115" s="84"/>
    </row>
    <row r="116" spans="1:23" ht="29.25" customHeight="1">
      <c r="A116" s="121" t="s">
        <v>140</v>
      </c>
      <c r="B116" s="122"/>
      <c r="C116" s="122"/>
      <c r="D116" s="122"/>
      <c r="E116" s="122"/>
      <c r="F116" s="122"/>
      <c r="G116" s="122"/>
      <c r="H116" s="122"/>
      <c r="I116" s="123"/>
      <c r="J116" s="17">
        <f>SUM(J105,J106,J108,J109,J111,J112,J113,J115)</f>
        <v>40</v>
      </c>
      <c r="K116" s="17">
        <f t="shared" ref="K116:P116" si="47">SUM(K105,K106,K108,K109,K111,K112,K113,K115)</f>
        <v>16</v>
      </c>
      <c r="L116" s="17">
        <f t="shared" si="47"/>
        <v>6</v>
      </c>
      <c r="M116" s="17">
        <f t="shared" si="47"/>
        <v>7</v>
      </c>
      <c r="N116" s="17">
        <f t="shared" si="47"/>
        <v>29</v>
      </c>
      <c r="O116" s="17">
        <f t="shared" si="47"/>
        <v>44</v>
      </c>
      <c r="P116" s="17">
        <f t="shared" si="47"/>
        <v>73</v>
      </c>
      <c r="Q116" s="81">
        <f>COUNTIF(Q105:Q115,"E")</f>
        <v>2</v>
      </c>
      <c r="R116" s="81">
        <f>COUNTIF(R105:R115,"C")</f>
        <v>6</v>
      </c>
      <c r="S116" s="81">
        <f>COUNTIF(S105:S115,"C")</f>
        <v>0</v>
      </c>
      <c r="T116" s="62"/>
      <c r="U116" s="44"/>
      <c r="V116" s="44"/>
      <c r="W116" s="44"/>
    </row>
    <row r="117" spans="1:23" ht="15" customHeight="1">
      <c r="A117" s="124" t="s">
        <v>141</v>
      </c>
      <c r="B117" s="125"/>
      <c r="C117" s="125"/>
      <c r="D117" s="125"/>
      <c r="E117" s="125"/>
      <c r="F117" s="125"/>
      <c r="G117" s="125"/>
      <c r="H117" s="125"/>
      <c r="I117" s="125"/>
      <c r="J117" s="126"/>
      <c r="K117" s="17">
        <f>SUM(K105,K106,K108,K109,K111,K112,K113,)*14+SUM(K115)*12</f>
        <v>220</v>
      </c>
      <c r="L117" s="17">
        <f t="shared" ref="L117:P117" si="48">SUM(L105,L106,L108,L109,L111,L112,L113,)*14+SUM(L115)*12</f>
        <v>82</v>
      </c>
      <c r="M117" s="17">
        <f t="shared" si="48"/>
        <v>94</v>
      </c>
      <c r="N117" s="17">
        <f t="shared" si="48"/>
        <v>396</v>
      </c>
      <c r="O117" s="17">
        <f t="shared" si="48"/>
        <v>606</v>
      </c>
      <c r="P117" s="17">
        <f t="shared" si="48"/>
        <v>1002</v>
      </c>
      <c r="Q117" s="130"/>
      <c r="R117" s="131"/>
      <c r="S117" s="131"/>
      <c r="T117" s="132"/>
      <c r="U117" s="44"/>
      <c r="V117" s="44"/>
      <c r="W117" s="44"/>
    </row>
    <row r="118" spans="1:23" ht="15" customHeight="1">
      <c r="A118" s="127"/>
      <c r="B118" s="128"/>
      <c r="C118" s="128"/>
      <c r="D118" s="128"/>
      <c r="E118" s="128"/>
      <c r="F118" s="128"/>
      <c r="G118" s="128"/>
      <c r="H118" s="128"/>
      <c r="I118" s="128"/>
      <c r="J118" s="129"/>
      <c r="K118" s="163">
        <f>SUM(K117:M117)</f>
        <v>396</v>
      </c>
      <c r="L118" s="164"/>
      <c r="M118" s="165"/>
      <c r="N118" s="166">
        <f>SUM(N117:O117)</f>
        <v>1002</v>
      </c>
      <c r="O118" s="167"/>
      <c r="P118" s="168"/>
      <c r="Q118" s="133"/>
      <c r="R118" s="134"/>
      <c r="S118" s="134"/>
      <c r="T118" s="135"/>
      <c r="U118" s="44"/>
      <c r="V118" s="44"/>
      <c r="W118" s="44"/>
    </row>
    <row r="119" spans="1:23" ht="15" customHeight="1">
      <c r="A119" s="8"/>
      <c r="B119" s="8"/>
      <c r="C119" s="8"/>
      <c r="D119" s="8"/>
      <c r="E119" s="8"/>
      <c r="F119" s="8"/>
      <c r="G119" s="8"/>
      <c r="H119" s="8"/>
      <c r="I119" s="8"/>
      <c r="J119" s="8"/>
      <c r="K119" s="9"/>
      <c r="L119" s="9"/>
      <c r="M119" s="9"/>
      <c r="N119" s="12"/>
      <c r="O119" s="12"/>
      <c r="P119" s="12"/>
      <c r="Q119" s="12"/>
      <c r="R119" s="12"/>
      <c r="S119" s="12"/>
      <c r="T119" s="12"/>
      <c r="U119" s="44"/>
      <c r="V119" s="44"/>
      <c r="W119" s="44"/>
    </row>
    <row r="120" spans="1:23" ht="15" customHeight="1">
      <c r="A120" s="8"/>
      <c r="B120" s="8"/>
      <c r="C120" s="8"/>
      <c r="D120" s="8"/>
      <c r="E120" s="8"/>
      <c r="F120" s="8"/>
      <c r="G120" s="8"/>
      <c r="H120" s="8"/>
      <c r="I120" s="8"/>
      <c r="J120" s="8"/>
      <c r="K120" s="9"/>
      <c r="L120" s="9"/>
      <c r="M120" s="9"/>
      <c r="N120" s="12"/>
      <c r="O120" s="12"/>
      <c r="P120" s="12"/>
      <c r="Q120" s="12"/>
      <c r="R120" s="12"/>
      <c r="S120" s="12"/>
      <c r="T120" s="12"/>
      <c r="U120" s="44"/>
      <c r="V120" s="44"/>
      <c r="W120" s="44"/>
    </row>
    <row r="121" spans="1:23" ht="24" customHeight="1">
      <c r="A121" s="93" t="s">
        <v>163</v>
      </c>
      <c r="B121" s="93"/>
      <c r="C121" s="93"/>
      <c r="D121" s="93"/>
      <c r="E121" s="93"/>
      <c r="F121" s="93"/>
      <c r="G121" s="93"/>
      <c r="H121" s="93"/>
      <c r="I121" s="93"/>
      <c r="J121" s="93"/>
      <c r="K121" s="93"/>
      <c r="L121" s="93"/>
      <c r="M121" s="93"/>
      <c r="N121" s="93"/>
      <c r="O121" s="93"/>
      <c r="P121" s="93"/>
      <c r="Q121" s="93"/>
      <c r="R121" s="93"/>
      <c r="S121" s="93"/>
      <c r="T121" s="93"/>
      <c r="U121" s="44"/>
      <c r="V121" s="44"/>
      <c r="W121" s="44"/>
    </row>
    <row r="122" spans="1:23" ht="16.5" customHeight="1">
      <c r="A122" s="140" t="s">
        <v>164</v>
      </c>
      <c r="B122" s="141"/>
      <c r="C122" s="141"/>
      <c r="D122" s="141"/>
      <c r="E122" s="141"/>
      <c r="F122" s="141"/>
      <c r="G122" s="141"/>
      <c r="H122" s="141"/>
      <c r="I122" s="141"/>
      <c r="J122" s="141"/>
      <c r="K122" s="141"/>
      <c r="L122" s="141"/>
      <c r="M122" s="141"/>
      <c r="N122" s="141"/>
      <c r="O122" s="141"/>
      <c r="P122" s="141"/>
      <c r="Q122" s="141"/>
      <c r="R122" s="141"/>
      <c r="S122" s="141"/>
      <c r="T122" s="141"/>
      <c r="U122" s="44"/>
      <c r="V122" s="44"/>
      <c r="W122" s="44"/>
    </row>
    <row r="123" spans="1:23" ht="34.5" customHeight="1">
      <c r="A123" s="145" t="s">
        <v>51</v>
      </c>
      <c r="B123" s="145" t="s">
        <v>52</v>
      </c>
      <c r="C123" s="145"/>
      <c r="D123" s="145"/>
      <c r="E123" s="145"/>
      <c r="F123" s="145"/>
      <c r="G123" s="145"/>
      <c r="H123" s="145"/>
      <c r="I123" s="145"/>
      <c r="J123" s="139" t="s">
        <v>53</v>
      </c>
      <c r="K123" s="139" t="s">
        <v>54</v>
      </c>
      <c r="L123" s="139"/>
      <c r="M123" s="139"/>
      <c r="N123" s="139" t="s">
        <v>55</v>
      </c>
      <c r="O123" s="139"/>
      <c r="P123" s="139"/>
      <c r="Q123" s="139" t="s">
        <v>56</v>
      </c>
      <c r="R123" s="139"/>
      <c r="S123" s="139"/>
      <c r="T123" s="139" t="s">
        <v>57</v>
      </c>
      <c r="U123" s="44"/>
      <c r="V123" s="44"/>
      <c r="W123" s="44"/>
    </row>
    <row r="124" spans="1:23">
      <c r="A124" s="145"/>
      <c r="B124" s="145"/>
      <c r="C124" s="145"/>
      <c r="D124" s="145"/>
      <c r="E124" s="145"/>
      <c r="F124" s="145"/>
      <c r="G124" s="145"/>
      <c r="H124" s="145"/>
      <c r="I124" s="145"/>
      <c r="J124" s="139"/>
      <c r="K124" s="78" t="s">
        <v>59</v>
      </c>
      <c r="L124" s="78" t="s">
        <v>60</v>
      </c>
      <c r="M124" s="78" t="s">
        <v>61</v>
      </c>
      <c r="N124" s="78" t="s">
        <v>62</v>
      </c>
      <c r="O124" s="78" t="s">
        <v>37</v>
      </c>
      <c r="P124" s="78" t="s">
        <v>63</v>
      </c>
      <c r="Q124" s="78" t="s">
        <v>64</v>
      </c>
      <c r="R124" s="78" t="s">
        <v>59</v>
      </c>
      <c r="S124" s="78" t="s">
        <v>65</v>
      </c>
      <c r="T124" s="139"/>
      <c r="U124" s="44"/>
      <c r="V124" s="44"/>
      <c r="W124" s="44"/>
    </row>
    <row r="125" spans="1:23" ht="17.25" customHeight="1">
      <c r="A125" s="210" t="s">
        <v>165</v>
      </c>
      <c r="B125" s="211"/>
      <c r="C125" s="211"/>
      <c r="D125" s="211"/>
      <c r="E125" s="211"/>
      <c r="F125" s="211"/>
      <c r="G125" s="211"/>
      <c r="H125" s="211"/>
      <c r="I125" s="211"/>
      <c r="J125" s="211"/>
      <c r="K125" s="211"/>
      <c r="L125" s="211"/>
      <c r="M125" s="211"/>
      <c r="N125" s="211"/>
      <c r="O125" s="211"/>
      <c r="P125" s="211"/>
      <c r="Q125" s="211"/>
      <c r="R125" s="211"/>
      <c r="S125" s="211"/>
      <c r="T125" s="212"/>
      <c r="U125" s="44"/>
      <c r="V125" s="44"/>
      <c r="W125" s="44"/>
    </row>
    <row r="126" spans="1:23" ht="28.7" customHeight="1">
      <c r="A126" s="45" t="str">
        <f t="shared" ref="A126:A138" si="49">IF(ISNA(INDEX($A$37:$T$115,MATCH($B126,$B$37:$B$115,0),1)),"",INDEX($A$37:$T$115,MATCH($B126,$B$37:$B$115,0),1))</f>
        <v>PMM5101</v>
      </c>
      <c r="B126" s="106" t="s">
        <v>67</v>
      </c>
      <c r="C126" s="106"/>
      <c r="D126" s="106"/>
      <c r="E126" s="106"/>
      <c r="F126" s="106"/>
      <c r="G126" s="106"/>
      <c r="H126" s="106"/>
      <c r="I126" s="106"/>
      <c r="J126" s="46">
        <f t="shared" ref="J126:J138" si="50">IF(ISNA(INDEX($A$37:$T$115,MATCH($B126,$B$37:$B$115,0),10)),"",INDEX($A$37:$T$115,MATCH($B126,$B$37:$B$115,0),10))</f>
        <v>5</v>
      </c>
      <c r="K126" s="46">
        <f t="shared" ref="K126:K138" si="51">IF(ISNA(INDEX($A$37:$T$115,MATCH($B126,$B$37:$B$115,0),11)),"",INDEX($A$37:$T$115,MATCH($B126,$B$37:$B$115,0),11))</f>
        <v>2</v>
      </c>
      <c r="L126" s="46">
        <f t="shared" ref="L126:L138" si="52">IF(ISNA(INDEX($A$37:$T$115,MATCH($B126,$B$37:$B$115,0),12)),"",INDEX($A$37:$T$115,MATCH($B126,$B$37:$B$115,0),12))</f>
        <v>1</v>
      </c>
      <c r="M126" s="46">
        <f t="shared" ref="M126:M138" si="53">IF(ISNA(INDEX($A$37:$T$115,MATCH($B126,$B$37:$B$115,0),13)),"",INDEX($A$37:$T$115,MATCH($B126,$B$37:$B$115,0),13))</f>
        <v>0</v>
      </c>
      <c r="N126" s="46">
        <f t="shared" ref="N126:N138" si="54">IF(ISNA(INDEX($A$37:$T$115,MATCH($B126,$B$37:$B$115,0),14)),"",INDEX($A$37:$T$115,MATCH($B126,$B$37:$B$115,0),14))</f>
        <v>3</v>
      </c>
      <c r="O126" s="46">
        <f t="shared" ref="O126:O138" si="55">IF(ISNA(INDEX($A$37:$T$115,MATCH($B126,$B$37:$B$115,0),15)),"",INDEX($A$37:$T$115,MATCH($B126,$B$37:$B$115,0),15))</f>
        <v>6</v>
      </c>
      <c r="P126" s="46">
        <f t="shared" ref="P126:P138" si="56">IF(ISNA(INDEX($A$37:$T$115,MATCH($B126,$B$37:$B$115,0),16)),"",INDEX($A$37:$T$115,MATCH($B126,$B$37:$B$115,0),16))</f>
        <v>9</v>
      </c>
      <c r="Q126" s="47" t="str">
        <f t="shared" ref="Q126:Q138" si="57">IF(ISNA(INDEX($A$37:$T$115,MATCH($B126,$B$37:$B$115,0),17)),"",INDEX($A$37:$T$115,MATCH($B126,$B$37:$B$115,0),17))</f>
        <v>E</v>
      </c>
      <c r="R126" s="47">
        <f t="shared" ref="R126:R138" si="58">IF(ISNA(INDEX($A$37:$T$115,MATCH($B126,$B$37:$B$115,0),18)),"",INDEX($A$37:$T$115,MATCH($B126,$B$37:$B$115,0),18))</f>
        <v>0</v>
      </c>
      <c r="S126" s="47">
        <f t="shared" ref="S126:S138" si="59">IF(ISNA(INDEX($A$37:$T$115,MATCH($B126,$B$37:$B$115,0),19)),"",INDEX($A$37:$T$115,MATCH($B126,$B$37:$B$115,0),19))</f>
        <v>0</v>
      </c>
      <c r="T126" s="88" t="s">
        <v>44</v>
      </c>
      <c r="U126" s="44"/>
      <c r="V126" s="44"/>
      <c r="W126" s="44"/>
    </row>
    <row r="127" spans="1:23" s="41" customFormat="1" ht="30" customHeight="1">
      <c r="A127" s="45" t="str">
        <f t="shared" si="49"/>
        <v>PMM5102</v>
      </c>
      <c r="B127" s="106" t="s">
        <v>69</v>
      </c>
      <c r="C127" s="106"/>
      <c r="D127" s="106"/>
      <c r="E127" s="106"/>
      <c r="F127" s="106"/>
      <c r="G127" s="106"/>
      <c r="H127" s="106"/>
      <c r="I127" s="106"/>
      <c r="J127" s="46">
        <f t="shared" si="50"/>
        <v>6</v>
      </c>
      <c r="K127" s="46">
        <f t="shared" si="51"/>
        <v>2</v>
      </c>
      <c r="L127" s="46">
        <f t="shared" si="52"/>
        <v>2</v>
      </c>
      <c r="M127" s="46">
        <f t="shared" si="53"/>
        <v>0</v>
      </c>
      <c r="N127" s="46">
        <f t="shared" si="54"/>
        <v>4</v>
      </c>
      <c r="O127" s="46">
        <f t="shared" si="55"/>
        <v>7</v>
      </c>
      <c r="P127" s="46">
        <f t="shared" si="56"/>
        <v>11</v>
      </c>
      <c r="Q127" s="47" t="str">
        <f t="shared" si="57"/>
        <v>E</v>
      </c>
      <c r="R127" s="47">
        <f t="shared" si="58"/>
        <v>0</v>
      </c>
      <c r="S127" s="47">
        <f t="shared" si="59"/>
        <v>0</v>
      </c>
      <c r="T127" s="88" t="s">
        <v>44</v>
      </c>
      <c r="U127" s="44"/>
      <c r="V127" s="44"/>
      <c r="W127" s="44"/>
    </row>
    <row r="128" spans="1:23" s="41" customFormat="1" ht="28.7" customHeight="1">
      <c r="A128" s="45" t="str">
        <f t="shared" si="49"/>
        <v>PMM5103</v>
      </c>
      <c r="B128" s="106" t="s">
        <v>72</v>
      </c>
      <c r="C128" s="106"/>
      <c r="D128" s="106"/>
      <c r="E128" s="106"/>
      <c r="F128" s="106"/>
      <c r="G128" s="106"/>
      <c r="H128" s="106"/>
      <c r="I128" s="106"/>
      <c r="J128" s="46">
        <f t="shared" si="50"/>
        <v>3</v>
      </c>
      <c r="K128" s="46">
        <f t="shared" si="51"/>
        <v>1</v>
      </c>
      <c r="L128" s="46">
        <f t="shared" si="52"/>
        <v>1</v>
      </c>
      <c r="M128" s="46">
        <f t="shared" si="53"/>
        <v>0</v>
      </c>
      <c r="N128" s="46">
        <f t="shared" si="54"/>
        <v>2</v>
      </c>
      <c r="O128" s="46">
        <f t="shared" si="55"/>
        <v>3</v>
      </c>
      <c r="P128" s="46">
        <f t="shared" si="56"/>
        <v>5</v>
      </c>
      <c r="Q128" s="47" t="str">
        <f t="shared" si="57"/>
        <v>E</v>
      </c>
      <c r="R128" s="47">
        <f t="shared" si="58"/>
        <v>0</v>
      </c>
      <c r="S128" s="47">
        <f t="shared" si="59"/>
        <v>0</v>
      </c>
      <c r="T128" s="88" t="s">
        <v>44</v>
      </c>
      <c r="U128" s="44"/>
      <c r="V128" s="44"/>
      <c r="W128" s="44"/>
    </row>
    <row r="129" spans="1:20" s="41" customFormat="1" ht="28.7" customHeight="1">
      <c r="A129" s="45" t="str">
        <f t="shared" si="49"/>
        <v>PMM5106</v>
      </c>
      <c r="B129" s="106" t="s">
        <v>79</v>
      </c>
      <c r="C129" s="106"/>
      <c r="D129" s="106"/>
      <c r="E129" s="106"/>
      <c r="F129" s="106"/>
      <c r="G129" s="106"/>
      <c r="H129" s="106"/>
      <c r="I129" s="106"/>
      <c r="J129" s="46">
        <f t="shared" si="50"/>
        <v>8</v>
      </c>
      <c r="K129" s="46">
        <f t="shared" si="51"/>
        <v>0</v>
      </c>
      <c r="L129" s="46">
        <f t="shared" si="52"/>
        <v>0</v>
      </c>
      <c r="M129" s="46">
        <f t="shared" si="53"/>
        <v>6</v>
      </c>
      <c r="N129" s="46">
        <f t="shared" si="54"/>
        <v>6</v>
      </c>
      <c r="O129" s="46">
        <f t="shared" si="55"/>
        <v>8</v>
      </c>
      <c r="P129" s="46">
        <f t="shared" si="56"/>
        <v>14</v>
      </c>
      <c r="Q129" s="47">
        <f t="shared" si="57"/>
        <v>0</v>
      </c>
      <c r="R129" s="47" t="str">
        <f t="shared" si="58"/>
        <v>C</v>
      </c>
      <c r="S129" s="47">
        <f t="shared" si="59"/>
        <v>0</v>
      </c>
      <c r="T129" s="88" t="s">
        <v>44</v>
      </c>
    </row>
    <row r="130" spans="1:20" s="41" customFormat="1" ht="28.7" customHeight="1">
      <c r="A130" s="45" t="str">
        <f t="shared" si="49"/>
        <v>PMM5207</v>
      </c>
      <c r="B130" s="106" t="s">
        <v>84</v>
      </c>
      <c r="C130" s="106"/>
      <c r="D130" s="106"/>
      <c r="E130" s="106"/>
      <c r="F130" s="106"/>
      <c r="G130" s="106"/>
      <c r="H130" s="106"/>
      <c r="I130" s="106"/>
      <c r="J130" s="46">
        <f t="shared" si="50"/>
        <v>5</v>
      </c>
      <c r="K130" s="46">
        <f t="shared" si="51"/>
        <v>2</v>
      </c>
      <c r="L130" s="46">
        <f t="shared" si="52"/>
        <v>1</v>
      </c>
      <c r="M130" s="46">
        <f t="shared" si="53"/>
        <v>0</v>
      </c>
      <c r="N130" s="46">
        <f t="shared" si="54"/>
        <v>3</v>
      </c>
      <c r="O130" s="46">
        <f t="shared" si="55"/>
        <v>6</v>
      </c>
      <c r="P130" s="46">
        <f t="shared" si="56"/>
        <v>9</v>
      </c>
      <c r="Q130" s="47" t="str">
        <f t="shared" si="57"/>
        <v>E</v>
      </c>
      <c r="R130" s="47">
        <f t="shared" si="58"/>
        <v>0</v>
      </c>
      <c r="S130" s="47">
        <f t="shared" si="59"/>
        <v>0</v>
      </c>
      <c r="T130" s="88" t="s">
        <v>44</v>
      </c>
    </row>
    <row r="131" spans="1:20" s="41" customFormat="1" ht="28.7" customHeight="1">
      <c r="A131" s="45" t="str">
        <f t="shared" si="49"/>
        <v>PMM5208</v>
      </c>
      <c r="B131" s="106" t="s">
        <v>86</v>
      </c>
      <c r="C131" s="106"/>
      <c r="D131" s="106"/>
      <c r="E131" s="106"/>
      <c r="F131" s="106"/>
      <c r="G131" s="106"/>
      <c r="H131" s="106"/>
      <c r="I131" s="106"/>
      <c r="J131" s="46">
        <f t="shared" si="50"/>
        <v>3</v>
      </c>
      <c r="K131" s="46">
        <f t="shared" si="51"/>
        <v>1</v>
      </c>
      <c r="L131" s="46">
        <f t="shared" si="52"/>
        <v>1</v>
      </c>
      <c r="M131" s="46">
        <f t="shared" si="53"/>
        <v>0</v>
      </c>
      <c r="N131" s="46">
        <f t="shared" si="54"/>
        <v>2</v>
      </c>
      <c r="O131" s="46">
        <f t="shared" si="55"/>
        <v>3</v>
      </c>
      <c r="P131" s="46">
        <f t="shared" si="56"/>
        <v>5</v>
      </c>
      <c r="Q131" s="47" t="str">
        <f t="shared" si="57"/>
        <v>E</v>
      </c>
      <c r="R131" s="47">
        <f t="shared" si="58"/>
        <v>0</v>
      </c>
      <c r="S131" s="47">
        <f t="shared" si="59"/>
        <v>0</v>
      </c>
      <c r="T131" s="88" t="s">
        <v>44</v>
      </c>
    </row>
    <row r="132" spans="1:20" s="41" customFormat="1" ht="56.1" customHeight="1">
      <c r="A132" s="45" t="str">
        <f t="shared" si="49"/>
        <v>PMM5211</v>
      </c>
      <c r="B132" s="106" t="s">
        <v>92</v>
      </c>
      <c r="C132" s="106"/>
      <c r="D132" s="106"/>
      <c r="E132" s="106"/>
      <c r="F132" s="106"/>
      <c r="G132" s="106"/>
      <c r="H132" s="106"/>
      <c r="I132" s="106"/>
      <c r="J132" s="46">
        <f t="shared" si="50"/>
        <v>3</v>
      </c>
      <c r="K132" s="46">
        <f t="shared" si="51"/>
        <v>1</v>
      </c>
      <c r="L132" s="46">
        <f t="shared" si="52"/>
        <v>0</v>
      </c>
      <c r="M132" s="46">
        <f t="shared" si="53"/>
        <v>1</v>
      </c>
      <c r="N132" s="46">
        <f t="shared" si="54"/>
        <v>2</v>
      </c>
      <c r="O132" s="46">
        <f t="shared" si="55"/>
        <v>3</v>
      </c>
      <c r="P132" s="46">
        <f t="shared" si="56"/>
        <v>5</v>
      </c>
      <c r="Q132" s="47" t="str">
        <f t="shared" si="57"/>
        <v>E</v>
      </c>
      <c r="R132" s="47">
        <f t="shared" si="58"/>
        <v>0</v>
      </c>
      <c r="S132" s="47">
        <f t="shared" si="59"/>
        <v>0</v>
      </c>
      <c r="T132" s="88" t="s">
        <v>44</v>
      </c>
    </row>
    <row r="133" spans="1:20" s="41" customFormat="1" ht="51.75" customHeight="1">
      <c r="A133" s="45" t="str">
        <f t="shared" si="49"/>
        <v>PMX1001</v>
      </c>
      <c r="B133" s="106" t="s">
        <v>94</v>
      </c>
      <c r="C133" s="106"/>
      <c r="D133" s="106"/>
      <c r="E133" s="106"/>
      <c r="F133" s="106"/>
      <c r="G133" s="106"/>
      <c r="H133" s="106"/>
      <c r="I133" s="106"/>
      <c r="J133" s="46">
        <f t="shared" si="50"/>
        <v>3</v>
      </c>
      <c r="K133" s="46">
        <f t="shared" si="51"/>
        <v>1</v>
      </c>
      <c r="L133" s="46">
        <f t="shared" si="52"/>
        <v>1</v>
      </c>
      <c r="M133" s="46">
        <f t="shared" si="53"/>
        <v>0</v>
      </c>
      <c r="N133" s="46">
        <f t="shared" si="54"/>
        <v>2</v>
      </c>
      <c r="O133" s="46">
        <f t="shared" si="55"/>
        <v>3</v>
      </c>
      <c r="P133" s="46">
        <f t="shared" si="56"/>
        <v>5</v>
      </c>
      <c r="Q133" s="47">
        <f t="shared" si="57"/>
        <v>0</v>
      </c>
      <c r="R133" s="47" t="str">
        <f t="shared" si="58"/>
        <v>C</v>
      </c>
      <c r="S133" s="47">
        <f t="shared" si="59"/>
        <v>0</v>
      </c>
      <c r="T133" s="88" t="s">
        <v>44</v>
      </c>
    </row>
    <row r="134" spans="1:20" s="41" customFormat="1" ht="28.7" customHeight="1">
      <c r="A134" s="45" t="str">
        <f t="shared" si="49"/>
        <v>PMM5312</v>
      </c>
      <c r="B134" s="106" t="s">
        <v>97</v>
      </c>
      <c r="C134" s="106"/>
      <c r="D134" s="106"/>
      <c r="E134" s="106"/>
      <c r="F134" s="106"/>
      <c r="G134" s="106"/>
      <c r="H134" s="106"/>
      <c r="I134" s="106"/>
      <c r="J134" s="46">
        <f t="shared" si="50"/>
        <v>6</v>
      </c>
      <c r="K134" s="46">
        <f t="shared" si="51"/>
        <v>2</v>
      </c>
      <c r="L134" s="46">
        <f t="shared" si="52"/>
        <v>2</v>
      </c>
      <c r="M134" s="46">
        <f t="shared" si="53"/>
        <v>0</v>
      </c>
      <c r="N134" s="46">
        <f t="shared" si="54"/>
        <v>4</v>
      </c>
      <c r="O134" s="46">
        <f t="shared" si="55"/>
        <v>7</v>
      </c>
      <c r="P134" s="46">
        <f t="shared" si="56"/>
        <v>11</v>
      </c>
      <c r="Q134" s="47" t="str">
        <f t="shared" si="57"/>
        <v>E</v>
      </c>
      <c r="R134" s="47">
        <f t="shared" si="58"/>
        <v>0</v>
      </c>
      <c r="S134" s="47">
        <f t="shared" si="59"/>
        <v>0</v>
      </c>
      <c r="T134" s="88" t="s">
        <v>44</v>
      </c>
    </row>
    <row r="135" spans="1:20" s="41" customFormat="1" ht="28.7" customHeight="1">
      <c r="A135" s="45" t="str">
        <f t="shared" si="49"/>
        <v>PMM5313</v>
      </c>
      <c r="B135" s="106" t="s">
        <v>99</v>
      </c>
      <c r="C135" s="106"/>
      <c r="D135" s="106"/>
      <c r="E135" s="106"/>
      <c r="F135" s="106"/>
      <c r="G135" s="106"/>
      <c r="H135" s="106"/>
      <c r="I135" s="106"/>
      <c r="J135" s="46">
        <f t="shared" si="50"/>
        <v>3</v>
      </c>
      <c r="K135" s="46">
        <f t="shared" si="51"/>
        <v>1</v>
      </c>
      <c r="L135" s="46">
        <f t="shared" si="52"/>
        <v>1</v>
      </c>
      <c r="M135" s="46">
        <f t="shared" si="53"/>
        <v>0</v>
      </c>
      <c r="N135" s="46">
        <f t="shared" si="54"/>
        <v>2</v>
      </c>
      <c r="O135" s="46">
        <f t="shared" si="55"/>
        <v>3</v>
      </c>
      <c r="P135" s="46">
        <f t="shared" si="56"/>
        <v>5</v>
      </c>
      <c r="Q135" s="47" t="str">
        <f t="shared" si="57"/>
        <v>E</v>
      </c>
      <c r="R135" s="47">
        <f t="shared" si="58"/>
        <v>0</v>
      </c>
      <c r="S135" s="47">
        <f t="shared" si="59"/>
        <v>0</v>
      </c>
      <c r="T135" s="88" t="s">
        <v>44</v>
      </c>
    </row>
    <row r="136" spans="1:20" s="41" customFormat="1" ht="41.45" customHeight="1">
      <c r="A136" s="45" t="str">
        <f t="shared" si="49"/>
        <v>PMM5314</v>
      </c>
      <c r="B136" s="106" t="s">
        <v>101</v>
      </c>
      <c r="C136" s="106"/>
      <c r="D136" s="106"/>
      <c r="E136" s="106"/>
      <c r="F136" s="106"/>
      <c r="G136" s="106"/>
      <c r="H136" s="106"/>
      <c r="I136" s="106"/>
      <c r="J136" s="46">
        <f t="shared" si="50"/>
        <v>3</v>
      </c>
      <c r="K136" s="46">
        <f t="shared" si="51"/>
        <v>1</v>
      </c>
      <c r="L136" s="46">
        <f t="shared" si="52"/>
        <v>1</v>
      </c>
      <c r="M136" s="46">
        <f t="shared" si="53"/>
        <v>0</v>
      </c>
      <c r="N136" s="46">
        <f t="shared" si="54"/>
        <v>2</v>
      </c>
      <c r="O136" s="46">
        <f t="shared" si="55"/>
        <v>3</v>
      </c>
      <c r="P136" s="46">
        <f t="shared" si="56"/>
        <v>5</v>
      </c>
      <c r="Q136" s="47">
        <f t="shared" si="57"/>
        <v>0</v>
      </c>
      <c r="R136" s="47" t="str">
        <f t="shared" si="58"/>
        <v>C</v>
      </c>
      <c r="S136" s="47">
        <f t="shared" si="59"/>
        <v>0</v>
      </c>
      <c r="T136" s="88" t="s">
        <v>44</v>
      </c>
    </row>
    <row r="137" spans="1:20" s="41" customFormat="1" ht="47.25" customHeight="1">
      <c r="A137" s="45" t="str">
        <f t="shared" si="49"/>
        <v>PMM5315</v>
      </c>
      <c r="B137" s="106" t="s">
        <v>103</v>
      </c>
      <c r="C137" s="106"/>
      <c r="D137" s="106"/>
      <c r="E137" s="106"/>
      <c r="F137" s="106"/>
      <c r="G137" s="106"/>
      <c r="H137" s="106"/>
      <c r="I137" s="106"/>
      <c r="J137" s="46">
        <f t="shared" si="50"/>
        <v>3</v>
      </c>
      <c r="K137" s="46">
        <f t="shared" si="51"/>
        <v>1</v>
      </c>
      <c r="L137" s="46">
        <f t="shared" si="52"/>
        <v>0</v>
      </c>
      <c r="M137" s="46">
        <f t="shared" si="53"/>
        <v>1</v>
      </c>
      <c r="N137" s="46">
        <f t="shared" si="54"/>
        <v>2</v>
      </c>
      <c r="O137" s="46">
        <f t="shared" si="55"/>
        <v>3</v>
      </c>
      <c r="P137" s="46">
        <f t="shared" si="56"/>
        <v>5</v>
      </c>
      <c r="Q137" s="47" t="str">
        <f t="shared" si="57"/>
        <v>E</v>
      </c>
      <c r="R137" s="47">
        <f t="shared" si="58"/>
        <v>0</v>
      </c>
      <c r="S137" s="47">
        <f t="shared" si="59"/>
        <v>0</v>
      </c>
      <c r="T137" s="88" t="s">
        <v>44</v>
      </c>
    </row>
    <row r="138" spans="1:20" s="41" customFormat="1" ht="28.7" customHeight="1">
      <c r="A138" s="45" t="str">
        <f t="shared" si="49"/>
        <v>PMM5317</v>
      </c>
      <c r="B138" s="106" t="s">
        <v>107</v>
      </c>
      <c r="C138" s="106"/>
      <c r="D138" s="106"/>
      <c r="E138" s="106"/>
      <c r="F138" s="106"/>
      <c r="G138" s="106"/>
      <c r="H138" s="106"/>
      <c r="I138" s="106"/>
      <c r="J138" s="46">
        <f t="shared" si="50"/>
        <v>5</v>
      </c>
      <c r="K138" s="46">
        <f t="shared" si="51"/>
        <v>1</v>
      </c>
      <c r="L138" s="46">
        <f t="shared" si="52"/>
        <v>0</v>
      </c>
      <c r="M138" s="46">
        <f t="shared" si="53"/>
        <v>2</v>
      </c>
      <c r="N138" s="46">
        <f t="shared" si="54"/>
        <v>3</v>
      </c>
      <c r="O138" s="46">
        <f t="shared" si="55"/>
        <v>6</v>
      </c>
      <c r="P138" s="46">
        <f t="shared" si="56"/>
        <v>9</v>
      </c>
      <c r="Q138" s="47" t="str">
        <f t="shared" si="57"/>
        <v>E</v>
      </c>
      <c r="R138" s="47">
        <f t="shared" si="58"/>
        <v>0</v>
      </c>
      <c r="S138" s="47">
        <f t="shared" si="59"/>
        <v>0</v>
      </c>
      <c r="T138" s="88" t="s">
        <v>44</v>
      </c>
    </row>
    <row r="139" spans="1:20" s="41" customFormat="1" ht="28.7" customHeight="1">
      <c r="A139" s="81" t="s">
        <v>81</v>
      </c>
      <c r="B139" s="213"/>
      <c r="C139" s="214"/>
      <c r="D139" s="214"/>
      <c r="E139" s="214"/>
      <c r="F139" s="214"/>
      <c r="G139" s="214"/>
      <c r="H139" s="214"/>
      <c r="I139" s="215"/>
      <c r="J139" s="48">
        <f t="shared" ref="J139:P139" si="60">SUM(J126:J138)</f>
        <v>56</v>
      </c>
      <c r="K139" s="48">
        <f t="shared" si="60"/>
        <v>16</v>
      </c>
      <c r="L139" s="48">
        <f t="shared" si="60"/>
        <v>11</v>
      </c>
      <c r="M139" s="48">
        <f t="shared" si="60"/>
        <v>10</v>
      </c>
      <c r="N139" s="48">
        <f t="shared" si="60"/>
        <v>37</v>
      </c>
      <c r="O139" s="48">
        <f t="shared" si="60"/>
        <v>61</v>
      </c>
      <c r="P139" s="48">
        <f t="shared" si="60"/>
        <v>98</v>
      </c>
      <c r="Q139" s="81">
        <f>COUNTIF(Q126:Q138,"E")</f>
        <v>10</v>
      </c>
      <c r="R139" s="81">
        <f>COUNTIF(R126:R138,"C")</f>
        <v>3</v>
      </c>
      <c r="S139" s="81">
        <f>COUNTIF(S126:S138,"VP")</f>
        <v>0</v>
      </c>
      <c r="T139" s="88"/>
    </row>
    <row r="140" spans="1:20" s="41" customFormat="1" ht="28.7" customHeight="1">
      <c r="A140" s="210" t="s">
        <v>166</v>
      </c>
      <c r="B140" s="211"/>
      <c r="C140" s="211"/>
      <c r="D140" s="211"/>
      <c r="E140" s="211"/>
      <c r="F140" s="211"/>
      <c r="G140" s="211"/>
      <c r="H140" s="211"/>
      <c r="I140" s="211"/>
      <c r="J140" s="211"/>
      <c r="K140" s="211"/>
      <c r="L140" s="211"/>
      <c r="M140" s="211"/>
      <c r="N140" s="211"/>
      <c r="O140" s="211"/>
      <c r="P140" s="211"/>
      <c r="Q140" s="211"/>
      <c r="R140" s="211"/>
      <c r="S140" s="211"/>
      <c r="T140" s="212"/>
    </row>
    <row r="141" spans="1:20" ht="56.25" customHeight="1">
      <c r="A141" s="45" t="str">
        <f>IF(ISNA(INDEX($A$37:$T$115,MATCH($B141,$B$37:$B$115,0),1)),"",INDEX($A$37:$T$115,MATCH($B141,$B$37:$B$115,0),1))</f>
        <v>PMM5545</v>
      </c>
      <c r="B141" s="106" t="s">
        <v>114</v>
      </c>
      <c r="C141" s="106"/>
      <c r="D141" s="106"/>
      <c r="E141" s="106"/>
      <c r="F141" s="106"/>
      <c r="G141" s="106"/>
      <c r="H141" s="106"/>
      <c r="I141" s="106"/>
      <c r="J141" s="46">
        <f>IF(ISNA(INDEX($A$37:$T$115,MATCH($B141,$B$37:$B$115,0),10)),"",INDEX($A$37:$T$115,MATCH($B141,$B$37:$B$115,0),10))</f>
        <v>8</v>
      </c>
      <c r="K141" s="46">
        <f>IF(ISNA(INDEX($A$37:$T$115,MATCH($B141,$B$37:$B$115,0),11)),"",INDEX($A$37:$T$115,MATCH($B141,$B$37:$B$115,0),11))</f>
        <v>0</v>
      </c>
      <c r="L141" s="46">
        <f>IF(ISNA(INDEX($A$37:$T$115,MATCH($B141,$B$37:$B$115,0),12)),"",INDEX($A$37:$T$115,MATCH($B141,$B$37:$B$115,0),12))</f>
        <v>0</v>
      </c>
      <c r="M141" s="46">
        <f>IF(ISNA(INDEX($A$37:$T$115,MATCH($B141,$B$37:$B$115,0),13)),"",INDEX($A$37:$T$115,MATCH($B141,$B$37:$B$115,0),13))</f>
        <v>5</v>
      </c>
      <c r="N141" s="46">
        <f>IF(ISNA(INDEX($A$37:$T$115,MATCH($B141,$B$37:$B$115,0),14)),"",INDEX($A$37:$T$115,MATCH($B141,$B$37:$B$115,0),14))</f>
        <v>5</v>
      </c>
      <c r="O141" s="46">
        <f>IF(ISNA(INDEX($A$37:$T$115,MATCH($B141,$B$37:$B$115,0),15)),"",INDEX($A$37:$T$115,MATCH($B141,$B$37:$B$115,0),15))</f>
        <v>12</v>
      </c>
      <c r="P141" s="46">
        <f>IF(ISNA(INDEX($A$37:$T$115,MATCH($B141,$B$37:$B$115,0),16)),"",INDEX($A$37:$T$115,MATCH($B141,$B$37:$B$115,0),16))</f>
        <v>17</v>
      </c>
      <c r="Q141" s="47">
        <f>IF(ISNA(INDEX($A$37:$T$115,MATCH($B141,$B$37:$B$115,0),17)),"",INDEX($A$37:$T$115,MATCH($B141,$B$37:$B$115,0),17))</f>
        <v>0</v>
      </c>
      <c r="R141" s="47" t="str">
        <f>IF(ISNA(INDEX($A$37:$T$115,MATCH($B141,$B$37:$B$115,0),18)),"",INDEX($A$37:$T$115,MATCH($B141,$B$37:$B$115,0),18))</f>
        <v>C</v>
      </c>
      <c r="S141" s="47">
        <f>IF(ISNA(INDEX($A$37:$T$115,MATCH($B141,$B$37:$B$115,0),19)),"",INDEX($A$37:$T$115,MATCH($B141,$B$37:$B$115,0),19))</f>
        <v>0</v>
      </c>
      <c r="T141" s="88" t="s">
        <v>44</v>
      </c>
    </row>
    <row r="142" spans="1:20" ht="12.6" customHeight="1">
      <c r="A142" s="81" t="s">
        <v>81</v>
      </c>
      <c r="B142" s="145"/>
      <c r="C142" s="145"/>
      <c r="D142" s="145"/>
      <c r="E142" s="145"/>
      <c r="F142" s="145"/>
      <c r="G142" s="145"/>
      <c r="H142" s="145"/>
      <c r="I142" s="145"/>
      <c r="J142" s="48">
        <f t="shared" ref="J142:P142" si="61">SUM(J141:J141)</f>
        <v>8</v>
      </c>
      <c r="K142" s="48">
        <f t="shared" si="61"/>
        <v>0</v>
      </c>
      <c r="L142" s="48">
        <f t="shared" si="61"/>
        <v>0</v>
      </c>
      <c r="M142" s="48">
        <f t="shared" si="61"/>
        <v>5</v>
      </c>
      <c r="N142" s="48">
        <f t="shared" si="61"/>
        <v>5</v>
      </c>
      <c r="O142" s="48">
        <f t="shared" si="61"/>
        <v>12</v>
      </c>
      <c r="P142" s="48">
        <f t="shared" si="61"/>
        <v>17</v>
      </c>
      <c r="Q142" s="81">
        <f>COUNTIF(Q141:Q141,"E")</f>
        <v>0</v>
      </c>
      <c r="R142" s="81">
        <f>COUNTIF(R141:R141,"C")</f>
        <v>1</v>
      </c>
      <c r="S142" s="81">
        <f>COUNTIF(S141:S141,"VP")</f>
        <v>0</v>
      </c>
      <c r="T142" s="49"/>
    </row>
    <row r="143" spans="1:20">
      <c r="A143" s="236" t="s">
        <v>140</v>
      </c>
      <c r="B143" s="237"/>
      <c r="C143" s="237"/>
      <c r="D143" s="237"/>
      <c r="E143" s="237"/>
      <c r="F143" s="237"/>
      <c r="G143" s="237"/>
      <c r="H143" s="237"/>
      <c r="I143" s="238"/>
      <c r="J143" s="48">
        <f t="shared" ref="J143:S143" si="62">SUM(J139,J142)</f>
        <v>64</v>
      </c>
      <c r="K143" s="48">
        <f t="shared" si="62"/>
        <v>16</v>
      </c>
      <c r="L143" s="48">
        <f t="shared" si="62"/>
        <v>11</v>
      </c>
      <c r="M143" s="48">
        <f t="shared" si="62"/>
        <v>15</v>
      </c>
      <c r="N143" s="48">
        <f t="shared" si="62"/>
        <v>42</v>
      </c>
      <c r="O143" s="48">
        <f t="shared" si="62"/>
        <v>73</v>
      </c>
      <c r="P143" s="48">
        <f t="shared" si="62"/>
        <v>115</v>
      </c>
      <c r="Q143" s="48">
        <f t="shared" si="62"/>
        <v>10</v>
      </c>
      <c r="R143" s="48">
        <f t="shared" si="62"/>
        <v>4</v>
      </c>
      <c r="S143" s="48">
        <f t="shared" si="62"/>
        <v>0</v>
      </c>
      <c r="T143" s="61">
        <f>14/22</f>
        <v>0.63636363636363635</v>
      </c>
    </row>
    <row r="144" spans="1:20">
      <c r="A144" s="218" t="s">
        <v>141</v>
      </c>
      <c r="B144" s="219"/>
      <c r="C144" s="219"/>
      <c r="D144" s="219"/>
      <c r="E144" s="219"/>
      <c r="F144" s="219"/>
      <c r="G144" s="219"/>
      <c r="H144" s="219"/>
      <c r="I144" s="219"/>
      <c r="J144" s="220"/>
      <c r="K144" s="48">
        <f t="shared" ref="K144:P144" si="63">K139*14+K142*12</f>
        <v>224</v>
      </c>
      <c r="L144" s="48">
        <f t="shared" si="63"/>
        <v>154</v>
      </c>
      <c r="M144" s="48">
        <f t="shared" si="63"/>
        <v>200</v>
      </c>
      <c r="N144" s="48">
        <f t="shared" si="63"/>
        <v>578</v>
      </c>
      <c r="O144" s="48">
        <f t="shared" si="63"/>
        <v>998</v>
      </c>
      <c r="P144" s="48">
        <f t="shared" si="63"/>
        <v>1576</v>
      </c>
      <c r="Q144" s="224"/>
      <c r="R144" s="225"/>
      <c r="S144" s="225"/>
      <c r="T144" s="226"/>
    </row>
    <row r="145" spans="1:20">
      <c r="A145" s="221"/>
      <c r="B145" s="222"/>
      <c r="C145" s="222"/>
      <c r="D145" s="222"/>
      <c r="E145" s="222"/>
      <c r="F145" s="222"/>
      <c r="G145" s="222"/>
      <c r="H145" s="222"/>
      <c r="I145" s="222"/>
      <c r="J145" s="223"/>
      <c r="K145" s="230">
        <f>SUM(K144:M144)</f>
        <v>578</v>
      </c>
      <c r="L145" s="231"/>
      <c r="M145" s="232"/>
      <c r="N145" s="233">
        <f>SUM(N144:O144)</f>
        <v>1576</v>
      </c>
      <c r="O145" s="234"/>
      <c r="P145" s="235"/>
      <c r="Q145" s="227"/>
      <c r="R145" s="228"/>
      <c r="S145" s="228"/>
      <c r="T145" s="229"/>
    </row>
    <row r="146" spans="1:20">
      <c r="A146" s="44"/>
      <c r="B146" s="44"/>
      <c r="C146" s="44"/>
      <c r="D146" s="44"/>
      <c r="E146" s="44"/>
      <c r="F146" s="44"/>
      <c r="G146" s="44"/>
      <c r="H146" s="44"/>
      <c r="I146" s="44"/>
      <c r="J146" s="44"/>
      <c r="K146" s="44"/>
      <c r="L146" s="44"/>
      <c r="M146" s="44"/>
      <c r="N146" s="44"/>
      <c r="O146" s="44"/>
      <c r="P146" s="44"/>
      <c r="Q146" s="44"/>
      <c r="R146" s="44"/>
      <c r="S146" s="44"/>
      <c r="T146" s="44"/>
    </row>
    <row r="147" spans="1:20">
      <c r="A147" s="44"/>
      <c r="B147" s="85"/>
      <c r="C147" s="85"/>
      <c r="D147" s="85"/>
      <c r="E147" s="85"/>
      <c r="F147" s="85"/>
      <c r="G147" s="85"/>
      <c r="H147" s="44"/>
      <c r="I147" s="44"/>
      <c r="J147" s="44"/>
      <c r="K147" s="44"/>
      <c r="L147" s="44"/>
      <c r="M147" s="84"/>
      <c r="N147" s="84"/>
      <c r="O147" s="84"/>
      <c r="P147" s="84"/>
      <c r="Q147" s="84"/>
      <c r="R147" s="84"/>
      <c r="S147" s="84"/>
      <c r="T147" s="44"/>
    </row>
    <row r="148" spans="1:20" ht="28.5" customHeight="1">
      <c r="A148" s="44"/>
      <c r="B148" s="84"/>
      <c r="C148" s="84"/>
      <c r="D148" s="84"/>
      <c r="E148" s="84"/>
      <c r="F148" s="84"/>
      <c r="G148" s="84"/>
      <c r="H148" s="13"/>
      <c r="I148" s="13"/>
      <c r="J148" s="13"/>
      <c r="K148" s="44"/>
      <c r="L148" s="44"/>
      <c r="M148" s="84"/>
      <c r="N148" s="84"/>
      <c r="O148" s="84"/>
      <c r="P148" s="84"/>
      <c r="Q148" s="84"/>
      <c r="R148" s="84"/>
      <c r="S148" s="84"/>
      <c r="T148" s="44"/>
    </row>
    <row r="149" spans="1:20" ht="27.75" customHeight="1">
      <c r="A149" s="44"/>
      <c r="B149" s="44"/>
      <c r="C149" s="44"/>
      <c r="D149" s="44"/>
      <c r="E149" s="44"/>
      <c r="F149" s="44"/>
      <c r="G149" s="44"/>
      <c r="H149" s="44"/>
      <c r="I149" s="44"/>
      <c r="J149" s="44"/>
      <c r="K149" s="44"/>
      <c r="L149" s="44"/>
      <c r="M149" s="44"/>
      <c r="N149" s="44"/>
      <c r="O149" s="44"/>
      <c r="P149" s="44"/>
      <c r="Q149" s="44"/>
      <c r="R149" s="44"/>
      <c r="S149" s="44"/>
      <c r="T149" s="44"/>
    </row>
    <row r="150" spans="1:20" ht="16.5" customHeight="1">
      <c r="A150" s="145" t="s">
        <v>167</v>
      </c>
      <c r="B150" s="239"/>
      <c r="C150" s="239"/>
      <c r="D150" s="239"/>
      <c r="E150" s="239"/>
      <c r="F150" s="239"/>
      <c r="G150" s="239"/>
      <c r="H150" s="239"/>
      <c r="I150" s="239"/>
      <c r="J150" s="239"/>
      <c r="K150" s="239"/>
      <c r="L150" s="239"/>
      <c r="M150" s="239"/>
      <c r="N150" s="239"/>
      <c r="O150" s="239"/>
      <c r="P150" s="239"/>
      <c r="Q150" s="239"/>
      <c r="R150" s="239"/>
      <c r="S150" s="239"/>
      <c r="T150" s="239"/>
    </row>
    <row r="151" spans="1:20" ht="27.75" customHeight="1">
      <c r="A151" s="145" t="s">
        <v>51</v>
      </c>
      <c r="B151" s="145" t="s">
        <v>52</v>
      </c>
      <c r="C151" s="145"/>
      <c r="D151" s="145"/>
      <c r="E151" s="145"/>
      <c r="F151" s="145"/>
      <c r="G151" s="145"/>
      <c r="H151" s="145"/>
      <c r="I151" s="145"/>
      <c r="J151" s="139" t="s">
        <v>53</v>
      </c>
      <c r="K151" s="139" t="s">
        <v>54</v>
      </c>
      <c r="L151" s="139"/>
      <c r="M151" s="139"/>
      <c r="N151" s="139" t="s">
        <v>55</v>
      </c>
      <c r="O151" s="139"/>
      <c r="P151" s="139"/>
      <c r="Q151" s="139" t="s">
        <v>56</v>
      </c>
      <c r="R151" s="139"/>
      <c r="S151" s="139"/>
      <c r="T151" s="139" t="s">
        <v>57</v>
      </c>
    </row>
    <row r="152" spans="1:20" ht="57.6" customHeight="1">
      <c r="A152" s="145"/>
      <c r="B152" s="145"/>
      <c r="C152" s="145"/>
      <c r="D152" s="145"/>
      <c r="E152" s="145"/>
      <c r="F152" s="145"/>
      <c r="G152" s="145"/>
      <c r="H152" s="145"/>
      <c r="I152" s="145"/>
      <c r="J152" s="139"/>
      <c r="K152" s="78" t="s">
        <v>59</v>
      </c>
      <c r="L152" s="78" t="s">
        <v>60</v>
      </c>
      <c r="M152" s="78" t="s">
        <v>61</v>
      </c>
      <c r="N152" s="78" t="s">
        <v>62</v>
      </c>
      <c r="O152" s="78" t="s">
        <v>37</v>
      </c>
      <c r="P152" s="78" t="s">
        <v>63</v>
      </c>
      <c r="Q152" s="78" t="s">
        <v>64</v>
      </c>
      <c r="R152" s="78" t="s">
        <v>59</v>
      </c>
      <c r="S152" s="78" t="s">
        <v>65</v>
      </c>
      <c r="T152" s="139"/>
    </row>
    <row r="153" spans="1:20" ht="28.7" customHeight="1">
      <c r="A153" s="210" t="s">
        <v>165</v>
      </c>
      <c r="B153" s="211"/>
      <c r="C153" s="211"/>
      <c r="D153" s="211"/>
      <c r="E153" s="211"/>
      <c r="F153" s="211"/>
      <c r="G153" s="211"/>
      <c r="H153" s="211"/>
      <c r="I153" s="211"/>
      <c r="J153" s="211"/>
      <c r="K153" s="211"/>
      <c r="L153" s="211"/>
      <c r="M153" s="211"/>
      <c r="N153" s="211"/>
      <c r="O153" s="211"/>
      <c r="P153" s="211"/>
      <c r="Q153" s="211"/>
      <c r="R153" s="211"/>
      <c r="S153" s="211"/>
      <c r="T153" s="212"/>
    </row>
    <row r="154" spans="1:20" ht="57.6" customHeight="1">
      <c r="A154" s="45" t="str">
        <f>IF(ISNA(INDEX($A$37:$T$115,MATCH($B154,$B$37:$B$115,0),1)),"",INDEX($A$37:$T$115,MATCH($B154,$B$37:$B$115,0),1))</f>
        <v>PMM5104</v>
      </c>
      <c r="B154" s="244" t="s">
        <v>75</v>
      </c>
      <c r="C154" s="245"/>
      <c r="D154" s="245"/>
      <c r="E154" s="245"/>
      <c r="F154" s="245"/>
      <c r="G154" s="245"/>
      <c r="H154" s="245"/>
      <c r="I154" s="246"/>
      <c r="J154" s="46">
        <f>IF(ISNA(INDEX($A$37:$T$115,MATCH($B154,$B$37:$B$115,0),10)),"",INDEX($A$37:$T$115,MATCH($B154,$B$37:$B$115,0),10))</f>
        <v>2</v>
      </c>
      <c r="K154" s="46">
        <f>IF(ISNA(INDEX($A$37:$T$115,MATCH($B154,$B$37:$B$115,0),11)),"",INDEX($A$37:$T$115,MATCH($B154,$B$37:$B$115,0),11))</f>
        <v>1</v>
      </c>
      <c r="L154" s="46">
        <f>IF(ISNA(INDEX($A$37:$T$115,MATCH($B154,$B$37:$B$115,0),12)),"",INDEX($A$37:$T$115,MATCH($B154,$B$37:$B$115,0),12))</f>
        <v>0</v>
      </c>
      <c r="M154" s="46">
        <f>IF(ISNA(INDEX($A$37:$T$115,MATCH($B154,$B$37:$B$115,0),13)),"",INDEX($A$37:$T$115,MATCH($B154,$B$37:$B$115,0),13))</f>
        <v>0</v>
      </c>
      <c r="N154" s="46">
        <f>IF(ISNA(INDEX($A$37:$T$115,MATCH($B154,$B$37:$B$115,0),14)),"",INDEX($A$37:$T$115,MATCH($B154,$B$37:$B$115,0),14))</f>
        <v>1</v>
      </c>
      <c r="O154" s="46">
        <f>IF(ISNA(INDEX($A$37:$T$115,MATCH($B154,$B$37:$B$115,0),15)),"",INDEX($A$37:$T$115,MATCH($B154,$B$37:$B$115,0),15))</f>
        <v>3</v>
      </c>
      <c r="P154" s="46">
        <f>IF(ISNA(INDEX($A$37:$T$115,MATCH($B154,$B$37:$B$115,0),16)),"",INDEX($A$37:$T$115,MATCH($B154,$B$37:$B$115,0),16))</f>
        <v>4</v>
      </c>
      <c r="Q154" s="47">
        <f>IF(ISNA(INDEX($A$37:$T$115,MATCH($B154,$B$37:$B$115,0),17)),"",INDEX($A$37:$T$115,MATCH($B154,$B$37:$B$115,0),17))</f>
        <v>0</v>
      </c>
      <c r="R154" s="47" t="str">
        <f>IF(ISNA(INDEX($A$37:$T$115,MATCH($B154,$B$37:$B$115,0),18)),"",INDEX($A$37:$T$115,MATCH($B154,$B$37:$B$115,0),18))</f>
        <v>C</v>
      </c>
      <c r="S154" s="47">
        <f>IF(ISNA(INDEX($A$37:$T$115,MATCH($B154,$B$37:$B$115,0),19)),"",INDEX($A$37:$T$115,MATCH($B154,$B$37:$B$115,0),19))</f>
        <v>0</v>
      </c>
      <c r="T154" s="88" t="s">
        <v>45</v>
      </c>
    </row>
    <row r="155" spans="1:20" ht="25.5" customHeight="1">
      <c r="A155" s="81" t="s">
        <v>81</v>
      </c>
      <c r="B155" s="213"/>
      <c r="C155" s="214"/>
      <c r="D155" s="214"/>
      <c r="E155" s="214"/>
      <c r="F155" s="214"/>
      <c r="G155" s="214"/>
      <c r="H155" s="214"/>
      <c r="I155" s="215"/>
      <c r="J155" s="48">
        <f t="shared" ref="J155:S155" si="64">SUM(J154:J154)</f>
        <v>2</v>
      </c>
      <c r="K155" s="48">
        <f t="shared" si="64"/>
        <v>1</v>
      </c>
      <c r="L155" s="48">
        <f t="shared" si="64"/>
        <v>0</v>
      </c>
      <c r="M155" s="48">
        <f t="shared" si="64"/>
        <v>0</v>
      </c>
      <c r="N155" s="48">
        <f t="shared" si="64"/>
        <v>1</v>
      </c>
      <c r="O155" s="48">
        <f t="shared" si="64"/>
        <v>3</v>
      </c>
      <c r="P155" s="48">
        <f t="shared" si="64"/>
        <v>4</v>
      </c>
      <c r="Q155" s="48">
        <f t="shared" si="64"/>
        <v>0</v>
      </c>
      <c r="R155" s="48">
        <f t="shared" si="64"/>
        <v>0</v>
      </c>
      <c r="S155" s="48">
        <f t="shared" si="64"/>
        <v>0</v>
      </c>
      <c r="T155" s="88"/>
    </row>
    <row r="156" spans="1:20" ht="28.7" customHeight="1">
      <c r="A156" s="236" t="s">
        <v>140</v>
      </c>
      <c r="B156" s="237"/>
      <c r="C156" s="237"/>
      <c r="D156" s="237"/>
      <c r="E156" s="237"/>
      <c r="F156" s="237"/>
      <c r="G156" s="237"/>
      <c r="H156" s="237"/>
      <c r="I156" s="238"/>
      <c r="J156" s="48">
        <f>SUM(J155)</f>
        <v>2</v>
      </c>
      <c r="K156" s="48">
        <f t="shared" ref="K156:S156" si="65">SUM(K155)</f>
        <v>1</v>
      </c>
      <c r="L156" s="48">
        <f t="shared" si="65"/>
        <v>0</v>
      </c>
      <c r="M156" s="48">
        <f t="shared" si="65"/>
        <v>0</v>
      </c>
      <c r="N156" s="48">
        <f t="shared" si="65"/>
        <v>1</v>
      </c>
      <c r="O156" s="48">
        <f t="shared" si="65"/>
        <v>3</v>
      </c>
      <c r="P156" s="48">
        <f t="shared" si="65"/>
        <v>4</v>
      </c>
      <c r="Q156" s="48">
        <f t="shared" si="65"/>
        <v>0</v>
      </c>
      <c r="R156" s="48">
        <f t="shared" si="65"/>
        <v>0</v>
      </c>
      <c r="S156" s="48">
        <f t="shared" si="65"/>
        <v>0</v>
      </c>
      <c r="T156" s="61">
        <f>1/22</f>
        <v>4.5454545454545456E-2</v>
      </c>
    </row>
    <row r="157" spans="1:20">
      <c r="A157" s="218" t="s">
        <v>141</v>
      </c>
      <c r="B157" s="219"/>
      <c r="C157" s="219"/>
      <c r="D157" s="219"/>
      <c r="E157" s="219"/>
      <c r="F157" s="219"/>
      <c r="G157" s="219"/>
      <c r="H157" s="219"/>
      <c r="I157" s="219"/>
      <c r="J157" s="220"/>
      <c r="K157" s="48">
        <f>K155*14</f>
        <v>14</v>
      </c>
      <c r="L157" s="48">
        <f t="shared" ref="L157:P157" si="66">L155*14</f>
        <v>0</v>
      </c>
      <c r="M157" s="48">
        <f t="shared" si="66"/>
        <v>0</v>
      </c>
      <c r="N157" s="48">
        <f t="shared" si="66"/>
        <v>14</v>
      </c>
      <c r="O157" s="48">
        <f t="shared" si="66"/>
        <v>42</v>
      </c>
      <c r="P157" s="48">
        <f t="shared" si="66"/>
        <v>56</v>
      </c>
      <c r="Q157" s="224"/>
      <c r="R157" s="225"/>
      <c r="S157" s="225"/>
      <c r="T157" s="226"/>
    </row>
    <row r="158" spans="1:20" ht="18.75" customHeight="1">
      <c r="A158" s="221"/>
      <c r="B158" s="222"/>
      <c r="C158" s="222"/>
      <c r="D158" s="222"/>
      <c r="E158" s="222"/>
      <c r="F158" s="222"/>
      <c r="G158" s="222"/>
      <c r="H158" s="222"/>
      <c r="I158" s="222"/>
      <c r="J158" s="223"/>
      <c r="K158" s="230">
        <f>SUM(K157:M157)</f>
        <v>14</v>
      </c>
      <c r="L158" s="231"/>
      <c r="M158" s="232"/>
      <c r="N158" s="233">
        <f>SUM(N157:O157)</f>
        <v>56</v>
      </c>
      <c r="O158" s="234"/>
      <c r="P158" s="235"/>
      <c r="Q158" s="227"/>
      <c r="R158" s="228"/>
      <c r="S158" s="228"/>
      <c r="T158" s="229"/>
    </row>
    <row r="159" spans="1:20" ht="28.7" customHeight="1">
      <c r="A159" s="44"/>
      <c r="B159" s="44"/>
      <c r="C159" s="44"/>
      <c r="D159" s="44"/>
      <c r="E159" s="44"/>
      <c r="F159" s="44"/>
      <c r="G159" s="44"/>
      <c r="H159" s="44"/>
      <c r="I159" s="44"/>
      <c r="J159" s="44"/>
      <c r="K159" s="44"/>
      <c r="L159" s="44"/>
      <c r="M159" s="44"/>
      <c r="N159" s="44"/>
      <c r="O159" s="44"/>
      <c r="P159" s="44"/>
      <c r="Q159" s="44"/>
      <c r="R159" s="44"/>
      <c r="S159" s="44"/>
      <c r="T159" s="44"/>
    </row>
    <row r="160" spans="1:20">
      <c r="A160" s="145" t="s">
        <v>168</v>
      </c>
      <c r="B160" s="239"/>
      <c r="C160" s="239"/>
      <c r="D160" s="239"/>
      <c r="E160" s="239"/>
      <c r="F160" s="239"/>
      <c r="G160" s="239"/>
      <c r="H160" s="239"/>
      <c r="I160" s="239"/>
      <c r="J160" s="239"/>
      <c r="K160" s="239"/>
      <c r="L160" s="239"/>
      <c r="M160" s="239"/>
      <c r="N160" s="239"/>
      <c r="O160" s="239"/>
      <c r="P160" s="239"/>
      <c r="Q160" s="239"/>
      <c r="R160" s="239"/>
      <c r="S160" s="239"/>
      <c r="T160" s="239"/>
    </row>
    <row r="161" spans="1:20" ht="30.75" customHeight="1">
      <c r="A161" s="145" t="s">
        <v>51</v>
      </c>
      <c r="B161" s="145" t="s">
        <v>52</v>
      </c>
      <c r="C161" s="145"/>
      <c r="D161" s="145"/>
      <c r="E161" s="145"/>
      <c r="F161" s="145"/>
      <c r="G161" s="145"/>
      <c r="H161" s="145"/>
      <c r="I161" s="145"/>
      <c r="J161" s="139" t="s">
        <v>53</v>
      </c>
      <c r="K161" s="139" t="s">
        <v>54</v>
      </c>
      <c r="L161" s="139"/>
      <c r="M161" s="139"/>
      <c r="N161" s="139" t="s">
        <v>55</v>
      </c>
      <c r="O161" s="139"/>
      <c r="P161" s="139"/>
      <c r="Q161" s="139" t="s">
        <v>56</v>
      </c>
      <c r="R161" s="139"/>
      <c r="S161" s="139"/>
      <c r="T161" s="139" t="s">
        <v>57</v>
      </c>
    </row>
    <row r="162" spans="1:20" ht="15.75" customHeight="1">
      <c r="A162" s="145"/>
      <c r="B162" s="145"/>
      <c r="C162" s="145"/>
      <c r="D162" s="145"/>
      <c r="E162" s="145"/>
      <c r="F162" s="145"/>
      <c r="G162" s="145"/>
      <c r="H162" s="145"/>
      <c r="I162" s="145"/>
      <c r="J162" s="139"/>
      <c r="K162" s="78" t="s">
        <v>59</v>
      </c>
      <c r="L162" s="78" t="s">
        <v>60</v>
      </c>
      <c r="M162" s="78" t="s">
        <v>61</v>
      </c>
      <c r="N162" s="78" t="s">
        <v>62</v>
      </c>
      <c r="O162" s="78" t="s">
        <v>37</v>
      </c>
      <c r="P162" s="78" t="s">
        <v>63</v>
      </c>
      <c r="Q162" s="78" t="s">
        <v>64</v>
      </c>
      <c r="R162" s="78" t="s">
        <v>59</v>
      </c>
      <c r="S162" s="78" t="s">
        <v>65</v>
      </c>
      <c r="T162" s="139"/>
    </row>
    <row r="163" spans="1:20" ht="17.25" customHeight="1">
      <c r="A163" s="210" t="s">
        <v>165</v>
      </c>
      <c r="B163" s="211"/>
      <c r="C163" s="211"/>
      <c r="D163" s="211"/>
      <c r="E163" s="211"/>
      <c r="F163" s="211"/>
      <c r="G163" s="211"/>
      <c r="H163" s="211"/>
      <c r="I163" s="211"/>
      <c r="J163" s="211"/>
      <c r="K163" s="211"/>
      <c r="L163" s="211"/>
      <c r="M163" s="211"/>
      <c r="N163" s="211"/>
      <c r="O163" s="211"/>
      <c r="P163" s="211"/>
      <c r="Q163" s="211"/>
      <c r="R163" s="211"/>
      <c r="S163" s="211"/>
      <c r="T163" s="212"/>
    </row>
    <row r="164" spans="1:20" ht="42.4" customHeight="1">
      <c r="A164" s="76"/>
      <c r="B164" s="106" t="s">
        <v>77</v>
      </c>
      <c r="C164" s="106"/>
      <c r="D164" s="106"/>
      <c r="E164" s="106"/>
      <c r="F164" s="106"/>
      <c r="G164" s="106"/>
      <c r="H164" s="106"/>
      <c r="I164" s="106"/>
      <c r="J164" s="46">
        <f>IF(ISNA(INDEX($A$37:$T$115,MATCH($B164,$B$37:$B$115,0),10)),"",INDEX($A$37:$T$115,MATCH($B164,$B$37:$B$115,0),10))</f>
        <v>6</v>
      </c>
      <c r="K164" s="46">
        <f>IF(ISNA(INDEX($A$37:$T$115,MATCH($B164,$B$37:$B$115,0),11)),"",INDEX($A$37:$T$115,MATCH($B164,$B$37:$B$115,0),11))</f>
        <v>2</v>
      </c>
      <c r="L164" s="46">
        <f>IF(ISNA(INDEX($A$37:$T$115,MATCH($B164,$B$37:$B$115,0),12)),"",INDEX($A$37:$T$115,MATCH($B164,$B$37:$B$115,0),12))</f>
        <v>2</v>
      </c>
      <c r="M164" s="46">
        <f>IF(ISNA(INDEX($A$37:$T$115,MATCH($B164,$B$37:$B$115,0),13)),"",INDEX($A$37:$T$115,MATCH($B164,$B$37:$B$115,0),13))</f>
        <v>0</v>
      </c>
      <c r="N164" s="46">
        <f>IF(ISNA(INDEX($A$37:$T$115,MATCH($B164,$B$37:$B$115,0),14)),"",INDEX($A$37:$T$115,MATCH($B164,$B$37:$B$115,0),14))</f>
        <v>4</v>
      </c>
      <c r="O164" s="46">
        <f>IF(ISNA(INDEX($A$37:$T$115,MATCH($B164,$B$37:$B$115,0),15)),"",INDEX($A$37:$T$115,MATCH($B164,$B$37:$B$115,0),15))</f>
        <v>7</v>
      </c>
      <c r="P164" s="46">
        <f>IF(ISNA(INDEX($A$37:$T$115,MATCH($B164,$B$37:$B$115,0),16)),"",INDEX($A$37:$T$115,MATCH($B164,$B$37:$B$115,0),16))</f>
        <v>11</v>
      </c>
      <c r="Q164" s="47" t="str">
        <f>IF(ISNA(INDEX($A$37:$T$115,MATCH($B164,$B$37:$B$115,0),17)),"",INDEX($A$37:$T$115,MATCH($B164,$B$37:$B$115,0),17))</f>
        <v>E</v>
      </c>
      <c r="R164" s="47">
        <f>IF(ISNA(INDEX($A$37:$T$115,MATCH($B164,$B$37:$B$115,0),18)),"",INDEX($A$37:$T$115,MATCH($B164,$B$37:$B$115,0),18))</f>
        <v>0</v>
      </c>
      <c r="S164" s="47">
        <f>IF(ISNA(INDEX($A$37:$T$115,MATCH($B164,$B$37:$B$115,0),19)),"",INDEX($A$37:$T$115,MATCH($B164,$B$37:$B$115,0),19))</f>
        <v>0</v>
      </c>
      <c r="T164" s="7" t="s">
        <v>46</v>
      </c>
    </row>
    <row r="165" spans="1:20" ht="32.1" customHeight="1">
      <c r="A165" s="45" t="str">
        <f>IF(ISNA(INDEX($A$37:$T$115,MATCH($B165,$B$37:$B$115,0),1)),"",INDEX($A$37:$T$115,MATCH($B165,$B$37:$B$115,0),1))</f>
        <v>PMM5540</v>
      </c>
      <c r="B165" s="106" t="s">
        <v>88</v>
      </c>
      <c r="C165" s="106"/>
      <c r="D165" s="106"/>
      <c r="E165" s="106"/>
      <c r="F165" s="106"/>
      <c r="G165" s="106"/>
      <c r="H165" s="106"/>
      <c r="I165" s="106"/>
      <c r="J165" s="46">
        <f>IF(ISNA(INDEX($A$37:$T$115,MATCH($B165,$B$37:$B$115,0),10)),"",INDEX($A$37:$T$115,MATCH($B165,$B$37:$B$115,0),10))</f>
        <v>6</v>
      </c>
      <c r="K165" s="46">
        <f>IF(ISNA(INDEX($A$37:$T$115,MATCH($B165,$B$37:$B$115,0),11)),"",INDEX($A$37:$T$115,MATCH($B165,$B$37:$B$115,0),11))</f>
        <v>2</v>
      </c>
      <c r="L165" s="46">
        <f>IF(ISNA(INDEX($A$37:$T$115,MATCH($B165,$B$37:$B$115,0),12)),"",INDEX($A$37:$T$115,MATCH($B165,$B$37:$B$115,0),12))</f>
        <v>2</v>
      </c>
      <c r="M165" s="46">
        <f>IF(ISNA(INDEX($A$37:$T$115,MATCH($B165,$B$37:$B$115,0),13)),"",INDEX($A$37:$T$115,MATCH($B165,$B$37:$B$115,0),13))</f>
        <v>0</v>
      </c>
      <c r="N165" s="46">
        <f>IF(ISNA(INDEX($A$37:$T$115,MATCH($B165,$B$37:$B$115,0),14)),"",INDEX($A$37:$T$115,MATCH($B165,$B$37:$B$115,0),14))</f>
        <v>4</v>
      </c>
      <c r="O165" s="46">
        <f>IF(ISNA(INDEX($A$37:$T$115,MATCH($B165,$B$37:$B$115,0),15)),"",INDEX($A$37:$T$115,MATCH($B165,$B$37:$B$115,0),15))</f>
        <v>7</v>
      </c>
      <c r="P165" s="46">
        <f>IF(ISNA(INDEX($A$37:$T$115,MATCH($B165,$B$37:$B$115,0),16)),"",INDEX($A$37:$T$115,MATCH($B165,$B$37:$B$115,0),16))</f>
        <v>11</v>
      </c>
      <c r="Q165" s="47" t="str">
        <f>IF(ISNA(INDEX($A$37:$T$115,MATCH($B165,$B$37:$B$115,0),17)),"",INDEX($A$37:$T$115,MATCH($B165,$B$37:$B$115,0),17))</f>
        <v>E</v>
      </c>
      <c r="R165" s="47">
        <f>IF(ISNA(INDEX($A$37:$T$115,MATCH($B165,$B$37:$B$115,0),18)),"",INDEX($A$37:$T$115,MATCH($B165,$B$37:$B$115,0),18))</f>
        <v>0</v>
      </c>
      <c r="S165" s="47">
        <f>IF(ISNA(INDEX($A$37:$T$115,MATCH($B165,$B$37:$B$115,0),19)),"",INDEX($A$37:$T$115,MATCH($B165,$B$37:$B$115,0),19))</f>
        <v>0</v>
      </c>
      <c r="T165" s="7" t="s">
        <v>46</v>
      </c>
    </row>
    <row r="166" spans="1:20" ht="51.75" customHeight="1">
      <c r="A166" s="45" t="str">
        <f>IF(ISNA(INDEX($A$37:$T$115,MATCH($B166,$B$37:$B$115,0),1)),"",INDEX($A$37:$T$115,MATCH($B166,$B$37:$B$115,0),1))</f>
        <v>PMX1001</v>
      </c>
      <c r="B166" s="106" t="s">
        <v>94</v>
      </c>
      <c r="C166" s="106"/>
      <c r="D166" s="106"/>
      <c r="E166" s="106"/>
      <c r="F166" s="106"/>
      <c r="G166" s="106"/>
      <c r="H166" s="106"/>
      <c r="I166" s="106"/>
      <c r="J166" s="46">
        <f>IF(ISNA(INDEX($A$37:$T$115,MATCH($B166,$B$37:$B$115,0),10)),"",INDEX($A$37:$T$115,MATCH($B166,$B$37:$B$115,0),10))</f>
        <v>3</v>
      </c>
      <c r="K166" s="46">
        <f>IF(ISNA(INDEX($A$37:$T$115,MATCH($B166,$B$37:$B$115,0),11)),"",INDEX($A$37:$T$115,MATCH($B166,$B$37:$B$115,0),11))</f>
        <v>1</v>
      </c>
      <c r="L166" s="46">
        <f>IF(ISNA(INDEX($A$37:$T$115,MATCH($B166,$B$37:$B$115,0),12)),"",INDEX($A$37:$T$115,MATCH($B166,$B$37:$B$115,0),12))</f>
        <v>1</v>
      </c>
      <c r="M166" s="46">
        <f>IF(ISNA(INDEX($A$37:$T$115,MATCH($B166,$B$37:$B$115,0),13)),"",INDEX($A$37:$T$115,MATCH($B166,$B$37:$B$115,0),13))</f>
        <v>0</v>
      </c>
      <c r="N166" s="46">
        <f>IF(ISNA(INDEX($A$37:$T$115,MATCH($B166,$B$37:$B$115,0),14)),"",INDEX($A$37:$T$115,MATCH($B166,$B$37:$B$115,0),14))</f>
        <v>2</v>
      </c>
      <c r="O166" s="46">
        <f>IF(ISNA(INDEX($A$37:$T$115,MATCH($B166,$B$37:$B$115,0),15)),"",INDEX($A$37:$T$115,MATCH($B166,$B$37:$B$115,0),15))</f>
        <v>3</v>
      </c>
      <c r="P166" s="46">
        <f>IF(ISNA(INDEX($A$37:$T$115,MATCH($B166,$B$37:$B$115,0),16)),"",INDEX($A$37:$T$115,MATCH($B166,$B$37:$B$115,0),16))</f>
        <v>5</v>
      </c>
      <c r="Q166" s="47">
        <f>IF(ISNA(INDEX($A$37:$T$115,MATCH($B166,$B$37:$B$115,0),17)),"",INDEX($A$37:$T$115,MATCH($B166,$B$37:$B$115,0),17))</f>
        <v>0</v>
      </c>
      <c r="R166" s="47" t="str">
        <f>IF(ISNA(INDEX($A$37:$T$115,MATCH($B166,$B$37:$B$115,0),18)),"",INDEX($A$37:$T$115,MATCH($B166,$B$37:$B$115,0),18))</f>
        <v>C</v>
      </c>
      <c r="S166" s="47">
        <f>IF(ISNA(INDEX($A$37:$T$115,MATCH($B166,$B$37:$B$115,0),19)),"",INDEX($A$37:$T$115,MATCH($B166,$B$37:$B$115,0),19))</f>
        <v>0</v>
      </c>
      <c r="T166" s="7" t="s">
        <v>46</v>
      </c>
    </row>
    <row r="167" spans="1:20">
      <c r="A167" s="81" t="s">
        <v>81</v>
      </c>
      <c r="B167" s="213"/>
      <c r="C167" s="214"/>
      <c r="D167" s="214"/>
      <c r="E167" s="214"/>
      <c r="F167" s="214"/>
      <c r="G167" s="214"/>
      <c r="H167" s="214"/>
      <c r="I167" s="215"/>
      <c r="J167" s="48">
        <f t="shared" ref="J167:P167" si="67">SUM(J164:J166)</f>
        <v>15</v>
      </c>
      <c r="K167" s="48">
        <f t="shared" si="67"/>
        <v>5</v>
      </c>
      <c r="L167" s="48">
        <f t="shared" si="67"/>
        <v>5</v>
      </c>
      <c r="M167" s="48">
        <f t="shared" si="67"/>
        <v>0</v>
      </c>
      <c r="N167" s="48">
        <f t="shared" si="67"/>
        <v>10</v>
      </c>
      <c r="O167" s="48">
        <f t="shared" si="67"/>
        <v>17</v>
      </c>
      <c r="P167" s="48">
        <f t="shared" si="67"/>
        <v>27</v>
      </c>
      <c r="Q167" s="81">
        <f>COUNTIF(Q164:Q166,"E")</f>
        <v>2</v>
      </c>
      <c r="R167" s="81">
        <f>COUNTIF(R164:R166,"C")</f>
        <v>1</v>
      </c>
      <c r="S167" s="81">
        <f>COUNTIF(S164:S166,"VP")</f>
        <v>0</v>
      </c>
      <c r="T167" s="88"/>
    </row>
    <row r="168" spans="1:20">
      <c r="A168" s="210" t="s">
        <v>169</v>
      </c>
      <c r="B168" s="211"/>
      <c r="C168" s="211"/>
      <c r="D168" s="211"/>
      <c r="E168" s="211"/>
      <c r="F168" s="211"/>
      <c r="G168" s="211"/>
      <c r="H168" s="211"/>
      <c r="I168" s="211"/>
      <c r="J168" s="211"/>
      <c r="K168" s="211"/>
      <c r="L168" s="211"/>
      <c r="M168" s="211"/>
      <c r="N168" s="211"/>
      <c r="O168" s="211"/>
      <c r="P168" s="211"/>
      <c r="Q168" s="211"/>
      <c r="R168" s="211"/>
      <c r="S168" s="211"/>
      <c r="T168" s="212"/>
    </row>
    <row r="169" spans="1:20" ht="32.65" customHeight="1">
      <c r="A169" s="45" t="str">
        <f>IF(ISNA(INDEX($A$37:$T$115,MATCH($B169,$B$37:$B$115,0),1)),"",INDEX($A$37:$T$115,MATCH($B169,$B$37:$B$115,0),1))</f>
        <v>PMX1002</v>
      </c>
      <c r="B169" s="106" t="s">
        <v>117</v>
      </c>
      <c r="C169" s="106"/>
      <c r="D169" s="106"/>
      <c r="E169" s="106"/>
      <c r="F169" s="106"/>
      <c r="G169" s="106"/>
      <c r="H169" s="106"/>
      <c r="I169" s="106"/>
      <c r="J169" s="46">
        <f>IF(ISNA(INDEX($A$37:$T$115,MATCH($B169,$B$37:$B$115,0),10)),"",INDEX($A$37:$T$115,MATCH($B169,$B$37:$B$115,0),10))</f>
        <v>5</v>
      </c>
      <c r="K169" s="46">
        <f>IF(ISNA(INDEX($A$37:$T$115,MATCH($B169,$B$37:$B$115,0),11)),"",INDEX($A$37:$T$115,MATCH($B169,$B$37:$B$115,0),11))</f>
        <v>2</v>
      </c>
      <c r="L169" s="46">
        <f>IF(ISNA(INDEX($A$37:$T$115,MATCH($B169,$B$37:$B$115,0),12)),"",INDEX($A$37:$T$115,MATCH($B169,$B$37:$B$115,0),12))</f>
        <v>0</v>
      </c>
      <c r="M169" s="46">
        <f>IF(ISNA(INDEX($A$37:$T$115,MATCH($B169,$B$37:$B$115,0),13)),"",INDEX($A$37:$T$115,MATCH($B169,$B$37:$B$115,0),13))</f>
        <v>0</v>
      </c>
      <c r="N169" s="46">
        <f>IF(ISNA(INDEX($A$37:$T$115,MATCH($B169,$B$37:$B$115,0),14)),"",INDEX($A$37:$T$115,MATCH($B169,$B$37:$B$115,0),14))</f>
        <v>2</v>
      </c>
      <c r="O169" s="46">
        <f>IF(ISNA(INDEX($A$37:$T$115,MATCH($B169,$B$37:$B$115,0),15)),"",INDEX($A$37:$T$115,MATCH($B169,$B$37:$B$115,0),15))</f>
        <v>8</v>
      </c>
      <c r="P169" s="46">
        <f>IF(ISNA(INDEX($A$37:$T$115,MATCH($B169,$B$37:$B$115,0),16)),"",INDEX($A$37:$T$115,MATCH($B169,$B$37:$B$115,0),16))</f>
        <v>10</v>
      </c>
      <c r="Q169" s="47">
        <f>IF(ISNA(INDEX($A$37:$T$115,MATCH($B169,$B$37:$B$115,0),17)),"",INDEX($A$37:$T$115,MATCH($B169,$B$37:$B$115,0),17))</f>
        <v>0</v>
      </c>
      <c r="R169" s="47" t="str">
        <f>IF(ISNA(INDEX($A$37:$T$115,MATCH($B169,$B$37:$B$115,0),18)),"",INDEX($A$37:$T$115,MATCH($B169,$B$37:$B$115,0),18))</f>
        <v>C</v>
      </c>
      <c r="S169" s="47">
        <f>IF(ISNA(INDEX($A$37:$T$115,MATCH($B169,$B$37:$B$115,0),19)),"",INDEX($A$37:$T$115,MATCH($B169,$B$37:$B$115,0),19))</f>
        <v>0</v>
      </c>
      <c r="T169" s="7" t="s">
        <v>46</v>
      </c>
    </row>
    <row r="170" spans="1:20" ht="19.5" customHeight="1">
      <c r="A170" s="81" t="s">
        <v>81</v>
      </c>
      <c r="B170" s="145"/>
      <c r="C170" s="145"/>
      <c r="D170" s="145"/>
      <c r="E170" s="145"/>
      <c r="F170" s="145"/>
      <c r="G170" s="145"/>
      <c r="H170" s="145"/>
      <c r="I170" s="145"/>
      <c r="J170" s="48">
        <f t="shared" ref="J170:P170" si="68">SUM(J169:J169)</f>
        <v>5</v>
      </c>
      <c r="K170" s="48">
        <f t="shared" si="68"/>
        <v>2</v>
      </c>
      <c r="L170" s="48">
        <f t="shared" si="68"/>
        <v>0</v>
      </c>
      <c r="M170" s="48">
        <f t="shared" si="68"/>
        <v>0</v>
      </c>
      <c r="N170" s="48">
        <f t="shared" si="68"/>
        <v>2</v>
      </c>
      <c r="O170" s="48">
        <f t="shared" si="68"/>
        <v>8</v>
      </c>
      <c r="P170" s="48">
        <f t="shared" si="68"/>
        <v>10</v>
      </c>
      <c r="Q170" s="81">
        <f>COUNTIF(Q169:Q169,"E")</f>
        <v>0</v>
      </c>
      <c r="R170" s="81">
        <f>COUNTIF(R169:R169,"C")</f>
        <v>1</v>
      </c>
      <c r="S170" s="81">
        <f>COUNTIF(S169:S169,"VP")</f>
        <v>0</v>
      </c>
      <c r="T170" s="49"/>
    </row>
    <row r="171" spans="1:20">
      <c r="A171" s="236" t="s">
        <v>140</v>
      </c>
      <c r="B171" s="237"/>
      <c r="C171" s="237"/>
      <c r="D171" s="237"/>
      <c r="E171" s="237"/>
      <c r="F171" s="237"/>
      <c r="G171" s="237"/>
      <c r="H171" s="237"/>
      <c r="I171" s="238"/>
      <c r="J171" s="48">
        <f t="shared" ref="J171:S171" si="69">SUM(J167,J170)</f>
        <v>20</v>
      </c>
      <c r="K171" s="48">
        <f t="shared" si="69"/>
        <v>7</v>
      </c>
      <c r="L171" s="48">
        <f t="shared" si="69"/>
        <v>5</v>
      </c>
      <c r="M171" s="48">
        <f t="shared" si="69"/>
        <v>0</v>
      </c>
      <c r="N171" s="48">
        <f t="shared" si="69"/>
        <v>12</v>
      </c>
      <c r="O171" s="48">
        <f t="shared" si="69"/>
        <v>25</v>
      </c>
      <c r="P171" s="48">
        <f t="shared" si="69"/>
        <v>37</v>
      </c>
      <c r="Q171" s="48">
        <f t="shared" si="69"/>
        <v>2</v>
      </c>
      <c r="R171" s="48">
        <f t="shared" si="69"/>
        <v>2</v>
      </c>
      <c r="S171" s="48">
        <f t="shared" si="69"/>
        <v>0</v>
      </c>
      <c r="T171" s="61">
        <f>4/22</f>
        <v>0.18181818181818182</v>
      </c>
    </row>
    <row r="172" spans="1:20">
      <c r="A172" s="218" t="s">
        <v>141</v>
      </c>
      <c r="B172" s="219"/>
      <c r="C172" s="219"/>
      <c r="D172" s="219"/>
      <c r="E172" s="219"/>
      <c r="F172" s="219"/>
      <c r="G172" s="219"/>
      <c r="H172" s="219"/>
      <c r="I172" s="219"/>
      <c r="J172" s="220"/>
      <c r="K172" s="48">
        <f t="shared" ref="K172:P172" si="70">K167*14+K170*12</f>
        <v>94</v>
      </c>
      <c r="L172" s="48">
        <f t="shared" si="70"/>
        <v>70</v>
      </c>
      <c r="M172" s="48">
        <f t="shared" si="70"/>
        <v>0</v>
      </c>
      <c r="N172" s="48">
        <f t="shared" si="70"/>
        <v>164</v>
      </c>
      <c r="O172" s="48">
        <f t="shared" si="70"/>
        <v>334</v>
      </c>
      <c r="P172" s="48">
        <f t="shared" si="70"/>
        <v>498</v>
      </c>
      <c r="Q172" s="224"/>
      <c r="R172" s="225"/>
      <c r="S172" s="225"/>
      <c r="T172" s="226"/>
    </row>
    <row r="173" spans="1:20">
      <c r="A173" s="221"/>
      <c r="B173" s="222"/>
      <c r="C173" s="222"/>
      <c r="D173" s="222"/>
      <c r="E173" s="222"/>
      <c r="F173" s="222"/>
      <c r="G173" s="222"/>
      <c r="H173" s="222"/>
      <c r="I173" s="222"/>
      <c r="J173" s="223"/>
      <c r="K173" s="230">
        <f>SUM(K172:M172)</f>
        <v>164</v>
      </c>
      <c r="L173" s="231"/>
      <c r="M173" s="232"/>
      <c r="N173" s="233">
        <f>SUM(N172:O172)</f>
        <v>498</v>
      </c>
      <c r="O173" s="234"/>
      <c r="P173" s="235"/>
      <c r="Q173" s="227"/>
      <c r="R173" s="228"/>
      <c r="S173" s="228"/>
      <c r="T173" s="229"/>
    </row>
    <row r="174" spans="1:20">
      <c r="A174" s="44"/>
      <c r="B174" s="44"/>
      <c r="C174" s="44"/>
      <c r="D174" s="44"/>
      <c r="E174" s="44"/>
      <c r="F174" s="44"/>
      <c r="G174" s="44"/>
      <c r="H174" s="44"/>
      <c r="I174" s="44"/>
      <c r="J174" s="44"/>
      <c r="K174" s="44"/>
      <c r="L174" s="44"/>
      <c r="M174" s="44"/>
      <c r="N174" s="44"/>
      <c r="O174" s="44"/>
      <c r="P174" s="44"/>
      <c r="Q174" s="44"/>
      <c r="R174" s="44"/>
      <c r="S174" s="44"/>
      <c r="T174" s="44"/>
    </row>
    <row r="175" spans="1:20">
      <c r="A175" s="44"/>
      <c r="B175" s="84"/>
      <c r="C175" s="84"/>
      <c r="D175" s="84"/>
      <c r="E175" s="84"/>
      <c r="F175" s="84"/>
      <c r="G175" s="84"/>
      <c r="H175" s="13"/>
      <c r="I175" s="13"/>
      <c r="J175" s="13"/>
      <c r="K175" s="44"/>
      <c r="L175" s="44"/>
      <c r="M175" s="84"/>
      <c r="N175" s="84"/>
      <c r="O175" s="84"/>
      <c r="P175" s="84"/>
      <c r="Q175" s="84"/>
      <c r="R175" s="84"/>
      <c r="S175" s="84"/>
      <c r="T175" s="44"/>
    </row>
    <row r="176" spans="1:20">
      <c r="A176" s="44"/>
      <c r="B176" s="44"/>
      <c r="C176" s="44"/>
      <c r="D176" s="44"/>
      <c r="E176" s="44"/>
      <c r="F176" s="44"/>
      <c r="G176" s="44"/>
      <c r="H176" s="44"/>
      <c r="I176" s="44"/>
      <c r="J176" s="44"/>
      <c r="K176" s="44"/>
      <c r="L176" s="44"/>
      <c r="M176" s="44"/>
      <c r="N176" s="44"/>
      <c r="O176" s="44"/>
      <c r="P176" s="44"/>
      <c r="Q176" s="44"/>
      <c r="R176" s="44"/>
      <c r="S176" s="44"/>
      <c r="T176" s="44"/>
    </row>
    <row r="177" spans="1:20">
      <c r="A177" s="139" t="s">
        <v>170</v>
      </c>
      <c r="B177" s="239"/>
      <c r="C177" s="239"/>
      <c r="D177" s="239"/>
      <c r="E177" s="239"/>
      <c r="F177" s="239"/>
      <c r="G177" s="239"/>
      <c r="H177" s="239"/>
      <c r="I177" s="239"/>
      <c r="J177" s="239"/>
      <c r="K177" s="239"/>
      <c r="L177" s="239"/>
      <c r="M177" s="239"/>
      <c r="N177" s="239"/>
      <c r="O177" s="239"/>
      <c r="P177" s="239"/>
      <c r="Q177" s="239"/>
      <c r="R177" s="239"/>
      <c r="S177" s="239"/>
      <c r="T177" s="239"/>
    </row>
    <row r="178" spans="1:20">
      <c r="A178" s="216" t="s">
        <v>51</v>
      </c>
      <c r="B178" s="145" t="s">
        <v>52</v>
      </c>
      <c r="C178" s="145"/>
      <c r="D178" s="145"/>
      <c r="E178" s="145"/>
      <c r="F178" s="145"/>
      <c r="G178" s="145"/>
      <c r="H178" s="145"/>
      <c r="I178" s="145"/>
      <c r="J178" s="139" t="s">
        <v>53</v>
      </c>
      <c r="K178" s="139" t="s">
        <v>54</v>
      </c>
      <c r="L178" s="139"/>
      <c r="M178" s="139"/>
      <c r="N178" s="139" t="s">
        <v>55</v>
      </c>
      <c r="O178" s="139"/>
      <c r="P178" s="139"/>
      <c r="Q178" s="139" t="s">
        <v>56</v>
      </c>
      <c r="R178" s="139"/>
      <c r="S178" s="139"/>
      <c r="T178" s="139" t="s">
        <v>57</v>
      </c>
    </row>
    <row r="179" spans="1:20">
      <c r="A179" s="217"/>
      <c r="B179" s="145"/>
      <c r="C179" s="145"/>
      <c r="D179" s="145"/>
      <c r="E179" s="145"/>
      <c r="F179" s="145"/>
      <c r="G179" s="145"/>
      <c r="H179" s="145"/>
      <c r="I179" s="145"/>
      <c r="J179" s="139"/>
      <c r="K179" s="78" t="s">
        <v>59</v>
      </c>
      <c r="L179" s="78" t="s">
        <v>60</v>
      </c>
      <c r="M179" s="78" t="s">
        <v>61</v>
      </c>
      <c r="N179" s="78" t="s">
        <v>62</v>
      </c>
      <c r="O179" s="78" t="s">
        <v>37</v>
      </c>
      <c r="P179" s="78" t="s">
        <v>63</v>
      </c>
      <c r="Q179" s="78" t="s">
        <v>64</v>
      </c>
      <c r="R179" s="78" t="s">
        <v>59</v>
      </c>
      <c r="S179" s="78" t="s">
        <v>65</v>
      </c>
      <c r="T179" s="139"/>
    </row>
    <row r="180" spans="1:20">
      <c r="A180" s="210" t="s">
        <v>165</v>
      </c>
      <c r="B180" s="211"/>
      <c r="C180" s="211"/>
      <c r="D180" s="211"/>
      <c r="E180" s="211"/>
      <c r="F180" s="211"/>
      <c r="G180" s="211"/>
      <c r="H180" s="211"/>
      <c r="I180" s="211"/>
      <c r="J180" s="211"/>
      <c r="K180" s="211"/>
      <c r="L180" s="211"/>
      <c r="M180" s="211"/>
      <c r="N180" s="211"/>
      <c r="O180" s="211"/>
      <c r="P180" s="211"/>
      <c r="Q180" s="211"/>
      <c r="R180" s="211"/>
      <c r="S180" s="211"/>
      <c r="T180" s="212"/>
    </row>
    <row r="181" spans="1:20" ht="30" customHeight="1">
      <c r="A181" s="45" t="str">
        <f t="shared" ref="A181:A186" si="71">IF(ISNA(INDEX($A$37:$T$115,MATCH($B181,$B$37:$B$115,0),1)),"",INDEX($A$37:$T$115,MATCH($B181,$B$37:$B$115,0),1))</f>
        <v>PMM5541</v>
      </c>
      <c r="B181" s="106" t="s">
        <v>90</v>
      </c>
      <c r="C181" s="106"/>
      <c r="D181" s="106"/>
      <c r="E181" s="106"/>
      <c r="F181" s="106"/>
      <c r="G181" s="106"/>
      <c r="H181" s="106"/>
      <c r="I181" s="106"/>
      <c r="J181" s="46">
        <f t="shared" ref="J181:J186" si="72">IF(ISNA(INDEX($A$37:$T$115,MATCH($B181,$B$37:$B$115,0),10)),"",INDEX($A$37:$T$115,MATCH($B181,$B$37:$B$115,0),10))</f>
        <v>10</v>
      </c>
      <c r="K181" s="46">
        <f t="shared" ref="K181:K186" si="73">IF(ISNA(INDEX($A$37:$T$115,MATCH($B181,$B$37:$B$115,0),11)),"",INDEX($A$37:$T$115,MATCH($B181,$B$37:$B$115,0),11))</f>
        <v>0</v>
      </c>
      <c r="L181" s="46">
        <f t="shared" ref="L181:L186" si="74">IF(ISNA(INDEX($A$37:$T$115,MATCH($B181,$B$37:$B$115,0),12)),"",INDEX($A$37:$T$115,MATCH($B181,$B$37:$B$115,0),12))</f>
        <v>0</v>
      </c>
      <c r="M181" s="46">
        <f t="shared" ref="M181:M186" si="75">IF(ISNA(INDEX($A$37:$T$115,MATCH($B181,$B$37:$B$115,0),13)),"",INDEX($A$37:$T$115,MATCH($B181,$B$37:$B$115,0),13))</f>
        <v>8</v>
      </c>
      <c r="N181" s="46">
        <f t="shared" ref="N181:N186" si="76">IF(ISNA(INDEX($A$37:$T$115,MATCH($B181,$B$37:$B$115,0),14)),"",INDEX($A$37:$T$115,MATCH($B181,$B$37:$B$115,0),14))</f>
        <v>8</v>
      </c>
      <c r="O181" s="46">
        <f t="shared" ref="O181:O186" si="77">IF(ISNA(INDEX($A$37:$T$115,MATCH($B181,$B$37:$B$115,0),15)),"",INDEX($A$37:$T$115,MATCH($B181,$B$37:$B$115,0),15))</f>
        <v>10</v>
      </c>
      <c r="P181" s="46">
        <f t="shared" ref="P181:P186" si="78">IF(ISNA(INDEX($A$37:$T$115,MATCH($B181,$B$37:$B$115,0),16)),"",INDEX($A$37:$T$115,MATCH($B181,$B$37:$B$115,0),16))</f>
        <v>18</v>
      </c>
      <c r="Q181" s="47">
        <f t="shared" ref="Q181:Q186" si="79">IF(ISNA(INDEX($A$37:$T$115,MATCH($B181,$B$37:$B$115,0),17)),"",INDEX($A$37:$T$115,MATCH($B181,$B$37:$B$115,0),17))</f>
        <v>0</v>
      </c>
      <c r="R181" s="47" t="str">
        <f t="shared" ref="R181:R186" si="80">IF(ISNA(INDEX($A$37:$T$115,MATCH($B181,$B$37:$B$115,0),18)),"",INDEX($A$37:$T$115,MATCH($B181,$B$37:$B$115,0),18))</f>
        <v>C</v>
      </c>
      <c r="S181" s="47">
        <f t="shared" ref="S181:S186" si="81">IF(ISNA(INDEX($A$37:$T$115,MATCH($B181,$B$37:$B$115,0),19)),"",INDEX($A$37:$T$115,MATCH($B181,$B$37:$B$115,0),19))</f>
        <v>0</v>
      </c>
      <c r="T181" s="88" t="s">
        <v>47</v>
      </c>
    </row>
    <row r="182" spans="1:20" ht="51.4" customHeight="1">
      <c r="A182" s="45" t="str">
        <f t="shared" si="71"/>
        <v>PMM5211</v>
      </c>
      <c r="B182" s="106" t="s">
        <v>92</v>
      </c>
      <c r="C182" s="106"/>
      <c r="D182" s="106"/>
      <c r="E182" s="106"/>
      <c r="F182" s="106"/>
      <c r="G182" s="106"/>
      <c r="H182" s="106"/>
      <c r="I182" s="106"/>
      <c r="J182" s="46">
        <f t="shared" si="72"/>
        <v>3</v>
      </c>
      <c r="K182" s="46">
        <f t="shared" si="73"/>
        <v>1</v>
      </c>
      <c r="L182" s="46">
        <f t="shared" si="74"/>
        <v>0</v>
      </c>
      <c r="M182" s="46">
        <f t="shared" si="75"/>
        <v>1</v>
      </c>
      <c r="N182" s="46">
        <f t="shared" si="76"/>
        <v>2</v>
      </c>
      <c r="O182" s="46">
        <f t="shared" si="77"/>
        <v>3</v>
      </c>
      <c r="P182" s="46">
        <f t="shared" si="78"/>
        <v>5</v>
      </c>
      <c r="Q182" s="47" t="str">
        <f t="shared" si="79"/>
        <v>E</v>
      </c>
      <c r="R182" s="47">
        <f t="shared" si="80"/>
        <v>0</v>
      </c>
      <c r="S182" s="47">
        <f t="shared" si="81"/>
        <v>0</v>
      </c>
      <c r="T182" s="88" t="s">
        <v>47</v>
      </c>
    </row>
    <row r="183" spans="1:20" ht="30" customHeight="1">
      <c r="A183" s="45" t="str">
        <f t="shared" si="71"/>
        <v>PMM5312</v>
      </c>
      <c r="B183" s="106" t="s">
        <v>97</v>
      </c>
      <c r="C183" s="106"/>
      <c r="D183" s="106"/>
      <c r="E183" s="106"/>
      <c r="F183" s="106"/>
      <c r="G183" s="106"/>
      <c r="H183" s="106"/>
      <c r="I183" s="106"/>
      <c r="J183" s="46">
        <f t="shared" si="72"/>
        <v>6</v>
      </c>
      <c r="K183" s="46">
        <f t="shared" si="73"/>
        <v>2</v>
      </c>
      <c r="L183" s="46">
        <f t="shared" si="74"/>
        <v>2</v>
      </c>
      <c r="M183" s="46">
        <f t="shared" si="75"/>
        <v>0</v>
      </c>
      <c r="N183" s="46">
        <f t="shared" si="76"/>
        <v>4</v>
      </c>
      <c r="O183" s="46">
        <f t="shared" si="77"/>
        <v>7</v>
      </c>
      <c r="P183" s="46">
        <f t="shared" si="78"/>
        <v>11</v>
      </c>
      <c r="Q183" s="47" t="str">
        <f t="shared" si="79"/>
        <v>E</v>
      </c>
      <c r="R183" s="47">
        <f t="shared" si="80"/>
        <v>0</v>
      </c>
      <c r="S183" s="47">
        <f t="shared" si="81"/>
        <v>0</v>
      </c>
      <c r="T183" s="88" t="s">
        <v>47</v>
      </c>
    </row>
    <row r="184" spans="1:20" ht="39.75" customHeight="1">
      <c r="A184" s="45" t="str">
        <f t="shared" si="71"/>
        <v>PMM5315</v>
      </c>
      <c r="B184" s="106" t="s">
        <v>103</v>
      </c>
      <c r="C184" s="106"/>
      <c r="D184" s="106"/>
      <c r="E184" s="106"/>
      <c r="F184" s="106"/>
      <c r="G184" s="106"/>
      <c r="H184" s="106"/>
      <c r="I184" s="106"/>
      <c r="J184" s="46">
        <f t="shared" si="72"/>
        <v>3</v>
      </c>
      <c r="K184" s="46">
        <f t="shared" si="73"/>
        <v>1</v>
      </c>
      <c r="L184" s="46">
        <f t="shared" si="74"/>
        <v>0</v>
      </c>
      <c r="M184" s="46">
        <f t="shared" si="75"/>
        <v>1</v>
      </c>
      <c r="N184" s="46">
        <f t="shared" si="76"/>
        <v>2</v>
      </c>
      <c r="O184" s="46">
        <f t="shared" si="77"/>
        <v>3</v>
      </c>
      <c r="P184" s="46">
        <f t="shared" si="78"/>
        <v>5</v>
      </c>
      <c r="Q184" s="47" t="str">
        <f t="shared" si="79"/>
        <v>E</v>
      </c>
      <c r="R184" s="47">
        <f t="shared" si="80"/>
        <v>0</v>
      </c>
      <c r="S184" s="47">
        <f t="shared" si="81"/>
        <v>0</v>
      </c>
      <c r="T184" s="88" t="s">
        <v>47</v>
      </c>
    </row>
    <row r="185" spans="1:20" ht="30" customHeight="1">
      <c r="A185" s="45" t="str">
        <f t="shared" si="71"/>
        <v>PMM5542</v>
      </c>
      <c r="B185" s="106" t="s">
        <v>105</v>
      </c>
      <c r="C185" s="106"/>
      <c r="D185" s="106"/>
      <c r="E185" s="106"/>
      <c r="F185" s="106"/>
      <c r="G185" s="106"/>
      <c r="H185" s="106"/>
      <c r="I185" s="106"/>
      <c r="J185" s="46">
        <f t="shared" si="72"/>
        <v>10</v>
      </c>
      <c r="K185" s="46">
        <f t="shared" si="73"/>
        <v>0</v>
      </c>
      <c r="L185" s="46">
        <f t="shared" si="74"/>
        <v>0</v>
      </c>
      <c r="M185" s="46">
        <f t="shared" si="75"/>
        <v>8</v>
      </c>
      <c r="N185" s="46">
        <f t="shared" si="76"/>
        <v>8</v>
      </c>
      <c r="O185" s="46">
        <f t="shared" si="77"/>
        <v>10</v>
      </c>
      <c r="P185" s="46">
        <f t="shared" si="78"/>
        <v>18</v>
      </c>
      <c r="Q185" s="47">
        <f t="shared" si="79"/>
        <v>0</v>
      </c>
      <c r="R185" s="47" t="str">
        <f t="shared" si="80"/>
        <v>C</v>
      </c>
      <c r="S185" s="47">
        <f t="shared" si="81"/>
        <v>0</v>
      </c>
      <c r="T185" s="88" t="s">
        <v>47</v>
      </c>
    </row>
    <row r="186" spans="1:20" ht="30" customHeight="1">
      <c r="A186" s="45" t="str">
        <f t="shared" si="71"/>
        <v>PMM5317</v>
      </c>
      <c r="B186" s="106" t="s">
        <v>107</v>
      </c>
      <c r="C186" s="106"/>
      <c r="D186" s="106"/>
      <c r="E186" s="106"/>
      <c r="F186" s="106"/>
      <c r="G186" s="106"/>
      <c r="H186" s="106"/>
      <c r="I186" s="106"/>
      <c r="J186" s="46">
        <f t="shared" si="72"/>
        <v>5</v>
      </c>
      <c r="K186" s="46">
        <f t="shared" si="73"/>
        <v>1</v>
      </c>
      <c r="L186" s="46">
        <f t="shared" si="74"/>
        <v>0</v>
      </c>
      <c r="M186" s="46">
        <f t="shared" si="75"/>
        <v>2</v>
      </c>
      <c r="N186" s="46">
        <f t="shared" si="76"/>
        <v>3</v>
      </c>
      <c r="O186" s="46">
        <f t="shared" si="77"/>
        <v>6</v>
      </c>
      <c r="P186" s="46">
        <f t="shared" si="78"/>
        <v>9</v>
      </c>
      <c r="Q186" s="47" t="str">
        <f t="shared" si="79"/>
        <v>E</v>
      </c>
      <c r="R186" s="47">
        <f t="shared" si="80"/>
        <v>0</v>
      </c>
      <c r="S186" s="47">
        <f t="shared" si="81"/>
        <v>0</v>
      </c>
      <c r="T186" s="88" t="s">
        <v>47</v>
      </c>
    </row>
    <row r="187" spans="1:20" ht="23.45" customHeight="1">
      <c r="A187" s="81" t="s">
        <v>81</v>
      </c>
      <c r="B187" s="213"/>
      <c r="C187" s="214"/>
      <c r="D187" s="214"/>
      <c r="E187" s="214"/>
      <c r="F187" s="214"/>
      <c r="G187" s="214"/>
      <c r="H187" s="214"/>
      <c r="I187" s="215"/>
      <c r="J187" s="48">
        <f t="shared" ref="J187:P187" si="82">SUM(J181:J186)</f>
        <v>37</v>
      </c>
      <c r="K187" s="48">
        <f t="shared" si="82"/>
        <v>5</v>
      </c>
      <c r="L187" s="48">
        <f t="shared" si="82"/>
        <v>2</v>
      </c>
      <c r="M187" s="48">
        <f t="shared" si="82"/>
        <v>20</v>
      </c>
      <c r="N187" s="48">
        <f t="shared" si="82"/>
        <v>27</v>
      </c>
      <c r="O187" s="48">
        <f t="shared" si="82"/>
        <v>39</v>
      </c>
      <c r="P187" s="48">
        <f t="shared" si="82"/>
        <v>66</v>
      </c>
      <c r="Q187" s="81">
        <f>COUNTIF(Q181:Q186,"E")</f>
        <v>4</v>
      </c>
      <c r="R187" s="81">
        <f>COUNTIF(R181:R186,"C")</f>
        <v>2</v>
      </c>
      <c r="S187" s="81">
        <f>COUNTIF(S181:S186,"VP")</f>
        <v>0</v>
      </c>
      <c r="T187" s="88"/>
    </row>
    <row r="188" spans="1:20">
      <c r="A188" s="210" t="s">
        <v>169</v>
      </c>
      <c r="B188" s="211"/>
      <c r="C188" s="211"/>
      <c r="D188" s="211"/>
      <c r="E188" s="211"/>
      <c r="F188" s="211"/>
      <c r="G188" s="211"/>
      <c r="H188" s="211"/>
      <c r="I188" s="211"/>
      <c r="J188" s="211"/>
      <c r="K188" s="211"/>
      <c r="L188" s="211"/>
      <c r="M188" s="211"/>
      <c r="N188" s="211"/>
      <c r="O188" s="211"/>
      <c r="P188" s="211"/>
      <c r="Q188" s="211"/>
      <c r="R188" s="211"/>
      <c r="S188" s="211"/>
      <c r="T188" s="212"/>
    </row>
    <row r="189" spans="1:20" ht="54.75" customHeight="1">
      <c r="A189" s="45" t="str">
        <f>IF(ISNA(INDEX($A$37:$T$115,MATCH($B189,$B$37:$B$115,0),1)),"",INDEX($A$37:$T$115,MATCH($B189,$B$37:$B$115,0),1))</f>
        <v>PMM5543</v>
      </c>
      <c r="B189" s="106" t="s">
        <v>110</v>
      </c>
      <c r="C189" s="106"/>
      <c r="D189" s="106"/>
      <c r="E189" s="106"/>
      <c r="F189" s="106"/>
      <c r="G189" s="106"/>
      <c r="H189" s="106"/>
      <c r="I189" s="106"/>
      <c r="J189" s="46">
        <f>IF(ISNA(INDEX($A$37:$T$115,MATCH($B189,$B$37:$B$115,0),10)),"",INDEX($A$37:$T$115,MATCH($B189,$B$37:$B$115,0),10))</f>
        <v>7</v>
      </c>
      <c r="K189" s="46">
        <f>IF(ISNA(INDEX($A$37:$T$115,MATCH($B189,$B$37:$B$115,0),11)),"",INDEX($A$37:$T$115,MATCH($B189,$B$37:$B$115,0),11))</f>
        <v>2</v>
      </c>
      <c r="L189" s="46">
        <f>IF(ISNA(INDEX($A$37:$T$115,MATCH($B189,$B$37:$B$115,0),12)),"",INDEX($A$37:$T$115,MATCH($B189,$B$37:$B$115,0),12))</f>
        <v>2</v>
      </c>
      <c r="M189" s="46">
        <f>IF(ISNA(INDEX($A$37:$T$115,MATCH($B189,$B$37:$B$115,0),13)),"",INDEX($A$37:$T$115,MATCH($B189,$B$37:$B$115,0),13))</f>
        <v>0</v>
      </c>
      <c r="N189" s="46">
        <f>IF(ISNA(INDEX($A$37:$T$115,MATCH($B189,$B$37:$B$115,0),14)),"",INDEX($A$37:$T$115,MATCH($B189,$B$37:$B$115,0),14))</f>
        <v>4</v>
      </c>
      <c r="O189" s="46">
        <f>IF(ISNA(INDEX($A$37:$T$115,MATCH($B189,$B$37:$B$115,0),15)),"",INDEX($A$37:$T$115,MATCH($B189,$B$37:$B$115,0),15))</f>
        <v>11</v>
      </c>
      <c r="P189" s="46">
        <f>IF(ISNA(INDEX($A$37:$T$115,MATCH($B189,$B$37:$B$115,0),16)),"",INDEX($A$37:$T$115,MATCH($B189,$B$37:$B$115,0),16))</f>
        <v>15</v>
      </c>
      <c r="Q189" s="47" t="str">
        <f>IF(ISNA(INDEX($A$37:$T$115,MATCH($B189,$B$37:$B$115,0),17)),"",INDEX($A$37:$T$115,MATCH($B189,$B$37:$B$115,0),17))</f>
        <v>E</v>
      </c>
      <c r="R189" s="47">
        <f>IF(ISNA(INDEX($A$37:$T$115,MATCH($B189,$B$37:$B$115,0),18)),"",INDEX($A$37:$T$115,MATCH($B189,$B$37:$B$115,0),18))</f>
        <v>0</v>
      </c>
      <c r="S189" s="47">
        <f>IF(ISNA(INDEX($A$37:$T$115,MATCH($B189,$B$37:$B$115,0),19)),"",INDEX($A$37:$T$115,MATCH($B189,$B$37:$B$115,0),19))</f>
        <v>0</v>
      </c>
      <c r="T189" s="88" t="s">
        <v>47</v>
      </c>
    </row>
    <row r="190" spans="1:20" ht="36" customHeight="1">
      <c r="A190" s="45" t="str">
        <f>IF(ISNA(INDEX($A$37:$T$115,MATCH($B190,$B$37:$B$115,0),1)),"",INDEX($A$37:$T$115,MATCH($B190,$B$37:$B$115,0),1))</f>
        <v>PMM5544</v>
      </c>
      <c r="B190" s="106" t="s">
        <v>112</v>
      </c>
      <c r="C190" s="106"/>
      <c r="D190" s="106"/>
      <c r="E190" s="106"/>
      <c r="F190" s="106"/>
      <c r="G190" s="106"/>
      <c r="H190" s="106"/>
      <c r="I190" s="106"/>
      <c r="J190" s="46">
        <f>IF(ISNA(INDEX($A$37:$T$115,MATCH($B190,$B$37:$B$115,0),10)),"",INDEX($A$37:$T$115,MATCH($B190,$B$37:$B$115,0),10))</f>
        <v>10</v>
      </c>
      <c r="K190" s="46">
        <f>IF(ISNA(INDEX($A$37:$T$115,MATCH($B190,$B$37:$B$115,0),11)),"",INDEX($A$37:$T$115,MATCH($B190,$B$37:$B$115,0),11))</f>
        <v>0</v>
      </c>
      <c r="L190" s="46">
        <f>IF(ISNA(INDEX($A$37:$T$115,MATCH($B190,$B$37:$B$115,0),12)),"",INDEX($A$37:$T$115,MATCH($B190,$B$37:$B$115,0),12))</f>
        <v>0</v>
      </c>
      <c r="M190" s="46">
        <f>IF(ISNA(INDEX($A$37:$T$115,MATCH($B190,$B$37:$B$115,0),13)),"",INDEX($A$37:$T$115,MATCH($B190,$B$37:$B$115,0),13))</f>
        <v>8</v>
      </c>
      <c r="N190" s="46">
        <f>IF(ISNA(INDEX($A$37:$T$115,MATCH($B190,$B$37:$B$115,0),14)),"",INDEX($A$37:$T$115,MATCH($B190,$B$37:$B$115,0),14))</f>
        <v>8</v>
      </c>
      <c r="O190" s="46">
        <f>IF(ISNA(INDEX($A$37:$T$115,MATCH($B190,$B$37:$B$115,0),15)),"",INDEX($A$37:$T$115,MATCH($B190,$B$37:$B$115,0),15))</f>
        <v>13</v>
      </c>
      <c r="P190" s="46">
        <f>IF(ISNA(INDEX($A$37:$T$115,MATCH($B190,$B$37:$B$115,0),16)),"",INDEX($A$37:$T$115,MATCH($B190,$B$37:$B$115,0),16))</f>
        <v>21</v>
      </c>
      <c r="Q190" s="47">
        <f>IF(ISNA(INDEX($A$37:$T$115,MATCH($B190,$B$37:$B$115,0),17)),"",INDEX($A$37:$T$115,MATCH($B190,$B$37:$B$115,0),17))</f>
        <v>0</v>
      </c>
      <c r="R190" s="47" t="str">
        <f>IF(ISNA(INDEX($A$37:$T$115,MATCH($B190,$B$37:$B$115,0),18)),"",INDEX($A$37:$T$115,MATCH($B190,$B$37:$B$115,0),18))</f>
        <v>C</v>
      </c>
      <c r="S190" s="47">
        <f>IF(ISNA(INDEX($A$37:$T$115,MATCH($B190,$B$37:$B$115,0),19)),"",INDEX($A$37:$T$115,MATCH($B190,$B$37:$B$115,0),19))</f>
        <v>0</v>
      </c>
      <c r="T190" s="88" t="s">
        <v>47</v>
      </c>
    </row>
    <row r="191" spans="1:20" ht="54" customHeight="1">
      <c r="A191" s="45" t="str">
        <f>IF(ISNA(INDEX($A$37:$T$115,MATCH($B191,$B$37:$B$115,0),1)),"",INDEX($A$37:$T$115,MATCH($B191,$B$37:$B$115,0),1))</f>
        <v>PMM5545</v>
      </c>
      <c r="B191" s="106" t="s">
        <v>114</v>
      </c>
      <c r="C191" s="106"/>
      <c r="D191" s="106"/>
      <c r="E191" s="106"/>
      <c r="F191" s="106"/>
      <c r="G191" s="106"/>
      <c r="H191" s="106"/>
      <c r="I191" s="106"/>
      <c r="J191" s="46">
        <f>IF(ISNA(INDEX($A$37:$T$115,MATCH($B191,$B$37:$B$115,0),10)),"",INDEX($A$37:$T$115,MATCH($B191,$B$37:$B$115,0),10))</f>
        <v>8</v>
      </c>
      <c r="K191" s="46">
        <f>IF(ISNA(INDEX($A$37:$T$115,MATCH($B191,$B$37:$B$115,0),11)),"",INDEX($A$37:$T$115,MATCH($B191,$B$37:$B$115,0),11))</f>
        <v>0</v>
      </c>
      <c r="L191" s="46">
        <f>IF(ISNA(INDEX($A$37:$T$115,MATCH($B191,$B$37:$B$115,0),12)),"",INDEX($A$37:$T$115,MATCH($B191,$B$37:$B$115,0),12))</f>
        <v>0</v>
      </c>
      <c r="M191" s="46">
        <f>IF(ISNA(INDEX($A$37:$T$115,MATCH($B191,$B$37:$B$115,0),13)),"",INDEX($A$37:$T$115,MATCH($B191,$B$37:$B$115,0),13))</f>
        <v>5</v>
      </c>
      <c r="N191" s="46">
        <f>IF(ISNA(INDEX($A$37:$T$115,MATCH($B191,$B$37:$B$115,0),14)),"",INDEX($A$37:$T$115,MATCH($B191,$B$37:$B$115,0),14))</f>
        <v>5</v>
      </c>
      <c r="O191" s="46">
        <f>IF(ISNA(INDEX($A$37:$T$115,MATCH($B191,$B$37:$B$115,0),15)),"",INDEX($A$37:$T$115,MATCH($B191,$B$37:$B$115,0),15))</f>
        <v>12</v>
      </c>
      <c r="P191" s="46">
        <f>IF(ISNA(INDEX($A$37:$T$115,MATCH($B191,$B$37:$B$115,0),16)),"",INDEX($A$37:$T$115,MATCH($B191,$B$37:$B$115,0),16))</f>
        <v>17</v>
      </c>
      <c r="Q191" s="47">
        <f>IF(ISNA(INDEX($A$37:$T$115,MATCH($B191,$B$37:$B$115,0),17)),"",INDEX($A$37:$T$115,MATCH($B191,$B$37:$B$115,0),17))</f>
        <v>0</v>
      </c>
      <c r="R191" s="47" t="str">
        <f>IF(ISNA(INDEX($A$37:$T$115,MATCH($B191,$B$37:$B$115,0),18)),"",INDEX($A$37:$T$115,MATCH($B191,$B$37:$B$115,0),18))</f>
        <v>C</v>
      </c>
      <c r="S191" s="47">
        <f>IF(ISNA(INDEX($A$37:$T$115,MATCH($B191,$B$37:$B$115,0),19)),"",INDEX($A$37:$T$115,MATCH($B191,$B$37:$B$115,0),19))</f>
        <v>0</v>
      </c>
      <c r="T191" s="88" t="s">
        <v>47</v>
      </c>
    </row>
    <row r="192" spans="1:20">
      <c r="A192" s="81" t="s">
        <v>81</v>
      </c>
      <c r="B192" s="145"/>
      <c r="C192" s="145"/>
      <c r="D192" s="145"/>
      <c r="E192" s="145"/>
      <c r="F192" s="145"/>
      <c r="G192" s="145"/>
      <c r="H192" s="145"/>
      <c r="I192" s="145"/>
      <c r="J192" s="48">
        <f t="shared" ref="J192:P192" si="83">SUM(J189:J191)</f>
        <v>25</v>
      </c>
      <c r="K192" s="48">
        <f t="shared" si="83"/>
        <v>2</v>
      </c>
      <c r="L192" s="48">
        <f t="shared" si="83"/>
        <v>2</v>
      </c>
      <c r="M192" s="48">
        <f t="shared" si="83"/>
        <v>13</v>
      </c>
      <c r="N192" s="48">
        <f t="shared" si="83"/>
        <v>17</v>
      </c>
      <c r="O192" s="48">
        <f t="shared" si="83"/>
        <v>36</v>
      </c>
      <c r="P192" s="48">
        <f t="shared" si="83"/>
        <v>53</v>
      </c>
      <c r="Q192" s="81">
        <f>COUNTIF(Q189:Q191,"E")</f>
        <v>1</v>
      </c>
      <c r="R192" s="81">
        <f>COUNTIF(R189:R191,"C")</f>
        <v>2</v>
      </c>
      <c r="S192" s="81">
        <f>COUNTIF(S189:S191,"VP")</f>
        <v>0</v>
      </c>
      <c r="T192" s="49"/>
    </row>
    <row r="193" spans="1:23">
      <c r="A193" s="236" t="s">
        <v>140</v>
      </c>
      <c r="B193" s="237"/>
      <c r="C193" s="237"/>
      <c r="D193" s="237"/>
      <c r="E193" s="237"/>
      <c r="F193" s="237"/>
      <c r="G193" s="237"/>
      <c r="H193" s="237"/>
      <c r="I193" s="238"/>
      <c r="J193" s="48">
        <f t="shared" ref="J193:S193" si="84">SUM(J187,J192)</f>
        <v>62</v>
      </c>
      <c r="K193" s="48">
        <f t="shared" si="84"/>
        <v>7</v>
      </c>
      <c r="L193" s="48">
        <f t="shared" si="84"/>
        <v>4</v>
      </c>
      <c r="M193" s="48">
        <f t="shared" si="84"/>
        <v>33</v>
      </c>
      <c r="N193" s="48">
        <f t="shared" si="84"/>
        <v>44</v>
      </c>
      <c r="O193" s="48">
        <f t="shared" si="84"/>
        <v>75</v>
      </c>
      <c r="P193" s="48">
        <f t="shared" si="84"/>
        <v>119</v>
      </c>
      <c r="Q193" s="48">
        <f t="shared" si="84"/>
        <v>5</v>
      </c>
      <c r="R193" s="48">
        <f t="shared" si="84"/>
        <v>4</v>
      </c>
      <c r="S193" s="48">
        <f t="shared" si="84"/>
        <v>0</v>
      </c>
      <c r="T193" s="61">
        <f>9/22</f>
        <v>0.40909090909090912</v>
      </c>
      <c r="U193" s="44"/>
      <c r="V193" s="44"/>
      <c r="W193" s="44"/>
    </row>
    <row r="194" spans="1:23">
      <c r="A194" s="218" t="s">
        <v>141</v>
      </c>
      <c r="B194" s="219"/>
      <c r="C194" s="219"/>
      <c r="D194" s="219"/>
      <c r="E194" s="219"/>
      <c r="F194" s="219"/>
      <c r="G194" s="219"/>
      <c r="H194" s="219"/>
      <c r="I194" s="219"/>
      <c r="J194" s="220"/>
      <c r="K194" s="48">
        <f t="shared" ref="K194:P194" si="85">K187*14+K192*12</f>
        <v>94</v>
      </c>
      <c r="L194" s="48">
        <f t="shared" si="85"/>
        <v>52</v>
      </c>
      <c r="M194" s="48">
        <f t="shared" si="85"/>
        <v>436</v>
      </c>
      <c r="N194" s="48">
        <f t="shared" si="85"/>
        <v>582</v>
      </c>
      <c r="O194" s="48">
        <f t="shared" si="85"/>
        <v>978</v>
      </c>
      <c r="P194" s="48">
        <f t="shared" si="85"/>
        <v>1560</v>
      </c>
      <c r="Q194" s="224"/>
      <c r="R194" s="225"/>
      <c r="S194" s="225"/>
      <c r="T194" s="226"/>
      <c r="U194" s="44"/>
      <c r="V194" s="44"/>
      <c r="W194" s="44"/>
    </row>
    <row r="195" spans="1:23">
      <c r="A195" s="221"/>
      <c r="B195" s="222"/>
      <c r="C195" s="222"/>
      <c r="D195" s="222"/>
      <c r="E195" s="222"/>
      <c r="F195" s="222"/>
      <c r="G195" s="222"/>
      <c r="H195" s="222"/>
      <c r="I195" s="222"/>
      <c r="J195" s="223"/>
      <c r="K195" s="230">
        <f>SUM(K194:M194)</f>
        <v>582</v>
      </c>
      <c r="L195" s="231"/>
      <c r="M195" s="232"/>
      <c r="N195" s="233">
        <f>SUM(N194:O194)</f>
        <v>1560</v>
      </c>
      <c r="O195" s="234"/>
      <c r="P195" s="235"/>
      <c r="Q195" s="227"/>
      <c r="R195" s="228"/>
      <c r="S195" s="228"/>
      <c r="T195" s="229"/>
      <c r="U195" s="44"/>
      <c r="V195" s="44"/>
      <c r="W195" s="44"/>
    </row>
    <row r="196" spans="1:23">
      <c r="A196" s="44"/>
      <c r="B196" s="44"/>
      <c r="C196" s="44"/>
      <c r="D196" s="44"/>
      <c r="E196" s="44"/>
      <c r="F196" s="44"/>
      <c r="G196" s="44"/>
      <c r="H196" s="44"/>
      <c r="I196" s="44"/>
      <c r="J196" s="44"/>
      <c r="K196" s="44"/>
      <c r="L196" s="44"/>
      <c r="M196" s="44"/>
      <c r="N196" s="44"/>
      <c r="O196" s="44"/>
      <c r="P196" s="44"/>
      <c r="Q196" s="44"/>
      <c r="R196" s="44"/>
      <c r="S196" s="44"/>
      <c r="T196" s="44"/>
      <c r="U196" s="44"/>
      <c r="V196" s="44"/>
      <c r="W196" s="44"/>
    </row>
    <row r="198" spans="1:23">
      <c r="A198" s="184" t="s">
        <v>171</v>
      </c>
      <c r="B198" s="184"/>
      <c r="C198" s="44"/>
      <c r="D198" s="44"/>
      <c r="E198" s="44"/>
      <c r="F198" s="44"/>
      <c r="G198" s="44"/>
      <c r="H198" s="44"/>
      <c r="I198" s="44"/>
      <c r="J198" s="44"/>
      <c r="K198" s="44"/>
      <c r="L198" s="44"/>
      <c r="M198" s="44"/>
      <c r="N198" s="44"/>
      <c r="O198" s="44"/>
      <c r="P198" s="44"/>
      <c r="Q198" s="44"/>
      <c r="R198" s="44"/>
      <c r="S198" s="44"/>
      <c r="T198" s="44"/>
      <c r="U198" s="44"/>
      <c r="V198" s="44"/>
      <c r="W198" s="44"/>
    </row>
    <row r="199" spans="1:23">
      <c r="A199" s="250" t="s">
        <v>51</v>
      </c>
      <c r="B199" s="252" t="s">
        <v>172</v>
      </c>
      <c r="C199" s="253"/>
      <c r="D199" s="253"/>
      <c r="E199" s="253"/>
      <c r="F199" s="253"/>
      <c r="G199" s="254"/>
      <c r="H199" s="252" t="s">
        <v>173</v>
      </c>
      <c r="I199" s="254"/>
      <c r="J199" s="258" t="s">
        <v>174</v>
      </c>
      <c r="K199" s="259"/>
      <c r="L199" s="259"/>
      <c r="M199" s="259"/>
      <c r="N199" s="259"/>
      <c r="O199" s="260"/>
      <c r="P199" s="252" t="s">
        <v>175</v>
      </c>
      <c r="Q199" s="254"/>
      <c r="R199" s="258" t="s">
        <v>176</v>
      </c>
      <c r="S199" s="259"/>
      <c r="T199" s="260"/>
      <c r="U199" s="30"/>
      <c r="V199" s="30"/>
      <c r="W199" s="44"/>
    </row>
    <row r="200" spans="1:23">
      <c r="A200" s="251"/>
      <c r="B200" s="255"/>
      <c r="C200" s="256"/>
      <c r="D200" s="256"/>
      <c r="E200" s="256"/>
      <c r="F200" s="256"/>
      <c r="G200" s="257"/>
      <c r="H200" s="255"/>
      <c r="I200" s="257"/>
      <c r="J200" s="258" t="s">
        <v>62</v>
      </c>
      <c r="K200" s="260"/>
      <c r="L200" s="258" t="s">
        <v>37</v>
      </c>
      <c r="M200" s="260"/>
      <c r="N200" s="258" t="s">
        <v>63</v>
      </c>
      <c r="O200" s="260"/>
      <c r="P200" s="255"/>
      <c r="Q200" s="257"/>
      <c r="R200" s="24" t="s">
        <v>177</v>
      </c>
      <c r="S200" s="258" t="s">
        <v>178</v>
      </c>
      <c r="T200" s="260"/>
      <c r="U200" s="44"/>
      <c r="V200" s="44"/>
      <c r="W200" s="44"/>
    </row>
    <row r="201" spans="1:23">
      <c r="A201" s="24">
        <v>1</v>
      </c>
      <c r="B201" s="258" t="s">
        <v>179</v>
      </c>
      <c r="C201" s="259"/>
      <c r="D201" s="259"/>
      <c r="E201" s="259"/>
      <c r="F201" s="259"/>
      <c r="G201" s="260"/>
      <c r="H201" s="266">
        <f>J201</f>
        <v>1044</v>
      </c>
      <c r="I201" s="266"/>
      <c r="J201" s="267">
        <f>SUM((N46+N57+N70)*14+(N79*12)-J202)</f>
        <v>1044</v>
      </c>
      <c r="K201" s="268"/>
      <c r="L201" s="267">
        <f>SUM((O46+O57+O70)*14+(O79*12)-L202)</f>
        <v>1774</v>
      </c>
      <c r="M201" s="268"/>
      <c r="N201" s="269">
        <f>SUM(J201:M201)</f>
        <v>2818</v>
      </c>
      <c r="O201" s="270"/>
      <c r="P201" s="240">
        <f>H201/H203</f>
        <v>0.95255474452554745</v>
      </c>
      <c r="Q201" s="241"/>
      <c r="R201" s="25">
        <f>J46+J57-R202</f>
        <v>57</v>
      </c>
      <c r="S201" s="271">
        <f>J70+J79-S202</f>
        <v>55</v>
      </c>
      <c r="T201" s="272"/>
      <c r="U201" s="44"/>
      <c r="V201" s="44"/>
      <c r="W201" s="44"/>
    </row>
    <row r="202" spans="1:23">
      <c r="A202" s="24">
        <v>2</v>
      </c>
      <c r="B202" s="258" t="s">
        <v>180</v>
      </c>
      <c r="C202" s="259"/>
      <c r="D202" s="259"/>
      <c r="E202" s="259"/>
      <c r="F202" s="259"/>
      <c r="G202" s="260"/>
      <c r="H202" s="266">
        <f>J202</f>
        <v>52</v>
      </c>
      <c r="I202" s="266"/>
      <c r="J202" s="273">
        <f>N97</f>
        <v>52</v>
      </c>
      <c r="K202" s="274"/>
      <c r="L202" s="273">
        <f>O97</f>
        <v>126</v>
      </c>
      <c r="M202" s="274"/>
      <c r="N202" s="275">
        <f>SUM(J202:M202)</f>
        <v>178</v>
      </c>
      <c r="O202" s="270"/>
      <c r="P202" s="240">
        <f>H202/H203</f>
        <v>4.7445255474452552E-2</v>
      </c>
      <c r="Q202" s="241"/>
      <c r="R202" s="14">
        <v>3</v>
      </c>
      <c r="S202" s="242">
        <v>5</v>
      </c>
      <c r="T202" s="243"/>
      <c r="U202" s="156" t="str">
        <f>IF(N202=P97,"Corect","Nu corespunde cu tabelul de opționale")</f>
        <v>Corect</v>
      </c>
      <c r="V202" s="157"/>
      <c r="W202" s="157"/>
    </row>
    <row r="203" spans="1:23">
      <c r="A203" s="258" t="s">
        <v>81</v>
      </c>
      <c r="B203" s="259"/>
      <c r="C203" s="259"/>
      <c r="D203" s="259"/>
      <c r="E203" s="259"/>
      <c r="F203" s="259"/>
      <c r="G203" s="260"/>
      <c r="H203" s="261">
        <f>SUM(H201:I202)</f>
        <v>1096</v>
      </c>
      <c r="I203" s="261"/>
      <c r="J203" s="261">
        <f>SUM(J201:K202)</f>
        <v>1096</v>
      </c>
      <c r="K203" s="261"/>
      <c r="L203" s="150">
        <f>SUM(L201:M202)</f>
        <v>1900</v>
      </c>
      <c r="M203" s="152"/>
      <c r="N203" s="150">
        <f>SUM(N201:O202)</f>
        <v>2996</v>
      </c>
      <c r="O203" s="152"/>
      <c r="P203" s="262">
        <f>SUM(P201:Q202)</f>
        <v>1</v>
      </c>
      <c r="Q203" s="263"/>
      <c r="R203" s="26">
        <f>SUM(R201:R202)</f>
        <v>60</v>
      </c>
      <c r="S203" s="264">
        <f>SUM(S201:T202)</f>
        <v>60</v>
      </c>
      <c r="T203" s="265"/>
      <c r="U203" s="44"/>
      <c r="V203" s="44"/>
      <c r="W203" s="44"/>
    </row>
    <row r="205" spans="1:23">
      <c r="A205" s="44"/>
      <c r="B205" s="44"/>
      <c r="C205" s="44"/>
      <c r="D205" s="44"/>
      <c r="E205" s="44"/>
      <c r="F205" s="44"/>
      <c r="G205" s="44"/>
      <c r="H205" s="44"/>
      <c r="I205" s="44"/>
      <c r="J205" s="44"/>
      <c r="K205" s="44"/>
      <c r="L205" s="44"/>
      <c r="M205" s="44"/>
      <c r="N205" s="44"/>
      <c r="O205" s="44"/>
      <c r="P205" s="44"/>
      <c r="Q205" s="44"/>
      <c r="R205" s="44"/>
      <c r="S205" s="44"/>
      <c r="T205" s="44"/>
      <c r="U205" s="44"/>
      <c r="V205" s="44"/>
      <c r="W205" s="44"/>
    </row>
  </sheetData>
  <sheetProtection formatCells="0" formatRows="0" insertRows="0"/>
  <mergeCells count="299">
    <mergeCell ref="K151:M151"/>
    <mergeCell ref="N151:P151"/>
    <mergeCell ref="B192:I192"/>
    <mergeCell ref="A193:I193"/>
    <mergeCell ref="B142:I142"/>
    <mergeCell ref="A153:T153"/>
    <mergeCell ref="A156:I156"/>
    <mergeCell ref="A157:J158"/>
    <mergeCell ref="Q157:T158"/>
    <mergeCell ref="K158:M158"/>
    <mergeCell ref="N158:P158"/>
    <mergeCell ref="A160:T160"/>
    <mergeCell ref="A161:A162"/>
    <mergeCell ref="B161:I162"/>
    <mergeCell ref="J161:J162"/>
    <mergeCell ref="K161:M161"/>
    <mergeCell ref="N161:P161"/>
    <mergeCell ref="Q161:S161"/>
    <mergeCell ref="T161:T162"/>
    <mergeCell ref="Q144:T145"/>
    <mergeCell ref="K145:M145"/>
    <mergeCell ref="N145:P145"/>
    <mergeCell ref="A150:T150"/>
    <mergeCell ref="A151:A152"/>
    <mergeCell ref="B151:I152"/>
    <mergeCell ref="J151:J152"/>
    <mergeCell ref="Q151:S151"/>
    <mergeCell ref="T151:T152"/>
    <mergeCell ref="N118:P118"/>
    <mergeCell ref="A203:G203"/>
    <mergeCell ref="H203:I203"/>
    <mergeCell ref="J203:K203"/>
    <mergeCell ref="L203:M203"/>
    <mergeCell ref="N203:O203"/>
    <mergeCell ref="P203:Q203"/>
    <mergeCell ref="S203:T203"/>
    <mergeCell ref="B201:G201"/>
    <mergeCell ref="H201:I201"/>
    <mergeCell ref="J201:K201"/>
    <mergeCell ref="L201:M201"/>
    <mergeCell ref="N201:O201"/>
    <mergeCell ref="P201:Q201"/>
    <mergeCell ref="S201:T201"/>
    <mergeCell ref="B202:G202"/>
    <mergeCell ref="H202:I202"/>
    <mergeCell ref="J202:K202"/>
    <mergeCell ref="L202:M202"/>
    <mergeCell ref="N202:O202"/>
    <mergeCell ref="P202:Q202"/>
    <mergeCell ref="S202:T202"/>
    <mergeCell ref="A143:I143"/>
    <mergeCell ref="A144:J145"/>
    <mergeCell ref="B155:I155"/>
    <mergeCell ref="B154:I154"/>
    <mergeCell ref="B115:I115"/>
    <mergeCell ref="A114:T114"/>
    <mergeCell ref="B111:I111"/>
    <mergeCell ref="B113:I113"/>
    <mergeCell ref="A163:T163"/>
    <mergeCell ref="B164:I164"/>
    <mergeCell ref="B165:I165"/>
    <mergeCell ref="B166:I166"/>
    <mergeCell ref="A199:A200"/>
    <mergeCell ref="B199:G200"/>
    <mergeCell ref="H199:I200"/>
    <mergeCell ref="J199:O199"/>
    <mergeCell ref="P199:Q200"/>
    <mergeCell ref="R199:T199"/>
    <mergeCell ref="J200:K200"/>
    <mergeCell ref="L200:M200"/>
    <mergeCell ref="N200:O200"/>
    <mergeCell ref="S200:T200"/>
    <mergeCell ref="A171:I171"/>
    <mergeCell ref="A172:J173"/>
    <mergeCell ref="Q172:T173"/>
    <mergeCell ref="K173:M173"/>
    <mergeCell ref="N173:P173"/>
    <mergeCell ref="A177:T177"/>
    <mergeCell ref="A107:T107"/>
    <mergeCell ref="B109:I109"/>
    <mergeCell ref="B141:I141"/>
    <mergeCell ref="B126:I126"/>
    <mergeCell ref="A125:T125"/>
    <mergeCell ref="K123:M123"/>
    <mergeCell ref="N123:P123"/>
    <mergeCell ref="K118:M118"/>
    <mergeCell ref="A140:T140"/>
    <mergeCell ref="B137:I137"/>
    <mergeCell ref="B138:I138"/>
    <mergeCell ref="B139:I139"/>
    <mergeCell ref="B127:I127"/>
    <mergeCell ref="B128:I128"/>
    <mergeCell ref="B129:I129"/>
    <mergeCell ref="B130:I130"/>
    <mergeCell ref="B133:I133"/>
    <mergeCell ref="B134:I134"/>
    <mergeCell ref="Q178:S178"/>
    <mergeCell ref="T178:T179"/>
    <mergeCell ref="B187:I187"/>
    <mergeCell ref="A188:T188"/>
    <mergeCell ref="B189:I189"/>
    <mergeCell ref="B190:I190"/>
    <mergeCell ref="B191:I191"/>
    <mergeCell ref="A194:J195"/>
    <mergeCell ref="Q194:T195"/>
    <mergeCell ref="K195:M195"/>
    <mergeCell ref="N195:P195"/>
    <mergeCell ref="N83:P83"/>
    <mergeCell ref="A83:A84"/>
    <mergeCell ref="B87:I87"/>
    <mergeCell ref="B89:I89"/>
    <mergeCell ref="B88:I88"/>
    <mergeCell ref="B90:I90"/>
    <mergeCell ref="B95:I95"/>
    <mergeCell ref="A198:B198"/>
    <mergeCell ref="B186:I186"/>
    <mergeCell ref="B181:I181"/>
    <mergeCell ref="B182:I182"/>
    <mergeCell ref="B183:I183"/>
    <mergeCell ref="B184:I184"/>
    <mergeCell ref="B185:I185"/>
    <mergeCell ref="A180:T180"/>
    <mergeCell ref="B167:I167"/>
    <mergeCell ref="A168:T168"/>
    <mergeCell ref="B169:I169"/>
    <mergeCell ref="B170:I170"/>
    <mergeCell ref="A178:A179"/>
    <mergeCell ref="B178:I179"/>
    <mergeCell ref="J178:J179"/>
    <mergeCell ref="K178:M178"/>
    <mergeCell ref="N178:P178"/>
    <mergeCell ref="A1:K1"/>
    <mergeCell ref="A3:K3"/>
    <mergeCell ref="K49:M49"/>
    <mergeCell ref="M19:T19"/>
    <mergeCell ref="M1:T1"/>
    <mergeCell ref="M14:T14"/>
    <mergeCell ref="A4:K5"/>
    <mergeCell ref="A35:T35"/>
    <mergeCell ref="A19:K19"/>
    <mergeCell ref="A17:K17"/>
    <mergeCell ref="M3:N3"/>
    <mergeCell ref="M5:N5"/>
    <mergeCell ref="D26:F26"/>
    <mergeCell ref="A18:K18"/>
    <mergeCell ref="N49:P49"/>
    <mergeCell ref="Q49:S49"/>
    <mergeCell ref="T38:T39"/>
    <mergeCell ref="A20:K23"/>
    <mergeCell ref="M21:T23"/>
    <mergeCell ref="I26:K26"/>
    <mergeCell ref="A14:K14"/>
    <mergeCell ref="A16:K16"/>
    <mergeCell ref="B38:I39"/>
    <mergeCell ref="B57:I57"/>
    <mergeCell ref="B53:I53"/>
    <mergeCell ref="B54:I54"/>
    <mergeCell ref="B45:I45"/>
    <mergeCell ref="B49:I50"/>
    <mergeCell ref="B55:I55"/>
    <mergeCell ref="A48:T48"/>
    <mergeCell ref="J49:J50"/>
    <mergeCell ref="A49:A50"/>
    <mergeCell ref="B56:I56"/>
    <mergeCell ref="B46:I46"/>
    <mergeCell ref="B51:I51"/>
    <mergeCell ref="B52:I52"/>
    <mergeCell ref="A38:A39"/>
    <mergeCell ref="R3:T3"/>
    <mergeCell ref="R4:T4"/>
    <mergeCell ref="R5:T5"/>
    <mergeCell ref="N38:P38"/>
    <mergeCell ref="K38:M38"/>
    <mergeCell ref="T49:T50"/>
    <mergeCell ref="Q38:S38"/>
    <mergeCell ref="M13:T13"/>
    <mergeCell ref="M16:T16"/>
    <mergeCell ref="A11:K11"/>
    <mergeCell ref="A12:K12"/>
    <mergeCell ref="R6:T6"/>
    <mergeCell ref="M8:T11"/>
    <mergeCell ref="A15:K15"/>
    <mergeCell ref="J38:J39"/>
    <mergeCell ref="A37:T37"/>
    <mergeCell ref="M25:T31"/>
    <mergeCell ref="M17:T17"/>
    <mergeCell ref="M18:T18"/>
    <mergeCell ref="M15:T15"/>
    <mergeCell ref="B42:I42"/>
    <mergeCell ref="B40:I40"/>
    <mergeCell ref="B41:I41"/>
    <mergeCell ref="A2:K2"/>
    <mergeCell ref="A6:K6"/>
    <mergeCell ref="O5:Q5"/>
    <mergeCell ref="O6:Q6"/>
    <mergeCell ref="O3:Q3"/>
    <mergeCell ref="O4:Q4"/>
    <mergeCell ref="M4:N4"/>
    <mergeCell ref="A10:K10"/>
    <mergeCell ref="M6:N6"/>
    <mergeCell ref="A7:K7"/>
    <mergeCell ref="A8:K8"/>
    <mergeCell ref="A9:K9"/>
    <mergeCell ref="B43:I43"/>
    <mergeCell ref="B44:I44"/>
    <mergeCell ref="J73:J74"/>
    <mergeCell ref="K73:M73"/>
    <mergeCell ref="N73:P73"/>
    <mergeCell ref="Q73:S73"/>
    <mergeCell ref="A73:A74"/>
    <mergeCell ref="U3:W3"/>
    <mergeCell ref="U6:W6"/>
    <mergeCell ref="U28:V28"/>
    <mergeCell ref="U29:V29"/>
    <mergeCell ref="U46:V46"/>
    <mergeCell ref="U57:V57"/>
    <mergeCell ref="U70:V70"/>
    <mergeCell ref="U9:Y12"/>
    <mergeCell ref="U15:Y17"/>
    <mergeCell ref="U20:Z23"/>
    <mergeCell ref="Z16:AA16"/>
    <mergeCell ref="U25:AA27"/>
    <mergeCell ref="U4:W4"/>
    <mergeCell ref="U5:W5"/>
    <mergeCell ref="B26:C26"/>
    <mergeCell ref="H26:H27"/>
    <mergeCell ref="A25:G25"/>
    <mergeCell ref="G26:G27"/>
    <mergeCell ref="A13:K13"/>
    <mergeCell ref="U79:V79"/>
    <mergeCell ref="U202:W202"/>
    <mergeCell ref="B65:I65"/>
    <mergeCell ref="B64:I64"/>
    <mergeCell ref="N62:P62"/>
    <mergeCell ref="B94:I94"/>
    <mergeCell ref="B91:I91"/>
    <mergeCell ref="N102:P102"/>
    <mergeCell ref="Q102:S102"/>
    <mergeCell ref="T102:T103"/>
    <mergeCell ref="Q83:S83"/>
    <mergeCell ref="K98:M98"/>
    <mergeCell ref="N98:P98"/>
    <mergeCell ref="Q97:T98"/>
    <mergeCell ref="A96:I96"/>
    <mergeCell ref="A97:J98"/>
    <mergeCell ref="T83:T84"/>
    <mergeCell ref="B112:I112"/>
    <mergeCell ref="Q62:S62"/>
    <mergeCell ref="T62:T63"/>
    <mergeCell ref="B75:I75"/>
    <mergeCell ref="B76:I76"/>
    <mergeCell ref="B135:I135"/>
    <mergeCell ref="B136:I136"/>
    <mergeCell ref="Q123:S123"/>
    <mergeCell ref="T123:T124"/>
    <mergeCell ref="A122:T122"/>
    <mergeCell ref="A61:T61"/>
    <mergeCell ref="J62:J63"/>
    <mergeCell ref="K62:M62"/>
    <mergeCell ref="A123:A124"/>
    <mergeCell ref="B123:I124"/>
    <mergeCell ref="J123:J124"/>
    <mergeCell ref="A62:A63"/>
    <mergeCell ref="B62:I63"/>
    <mergeCell ref="A93:T93"/>
    <mergeCell ref="B92:I92"/>
    <mergeCell ref="A82:T82"/>
    <mergeCell ref="T73:T74"/>
    <mergeCell ref="B70:I70"/>
    <mergeCell ref="B73:I74"/>
    <mergeCell ref="B66:I66"/>
    <mergeCell ref="B67:I67"/>
    <mergeCell ref="B68:I68"/>
    <mergeCell ref="B79:I79"/>
    <mergeCell ref="A101:T101"/>
    <mergeCell ref="B69:I69"/>
    <mergeCell ref="A72:T72"/>
    <mergeCell ref="A121:T121"/>
    <mergeCell ref="A102:A103"/>
    <mergeCell ref="B102:I103"/>
    <mergeCell ref="J102:J103"/>
    <mergeCell ref="K102:M102"/>
    <mergeCell ref="B131:I131"/>
    <mergeCell ref="B132:I132"/>
    <mergeCell ref="B106:I106"/>
    <mergeCell ref="B105:I105"/>
    <mergeCell ref="A104:T104"/>
    <mergeCell ref="A110:T110"/>
    <mergeCell ref="B108:I108"/>
    <mergeCell ref="A116:I116"/>
    <mergeCell ref="A117:J118"/>
    <mergeCell ref="Q117:T118"/>
    <mergeCell ref="B77:I77"/>
    <mergeCell ref="B78:I78"/>
    <mergeCell ref="B83:I84"/>
    <mergeCell ref="B86:I86"/>
    <mergeCell ref="A85:T85"/>
    <mergeCell ref="J83:J84"/>
    <mergeCell ref="K83:M83"/>
  </mergeCells>
  <phoneticPr fontId="6" type="noConversion"/>
  <conditionalFormatting sqref="U202:V202 U3:V6 U28:V29">
    <cfRule type="cellIs" dxfId="23" priority="49" operator="equal">
      <formula>"E bine"</formula>
    </cfRule>
  </conditionalFormatting>
  <conditionalFormatting sqref="U202:V202 U3:V6 U28:V29">
    <cfRule type="cellIs" dxfId="22" priority="48" operator="equal">
      <formula>"NU e bine"</formula>
    </cfRule>
  </conditionalFormatting>
  <conditionalFormatting sqref="U3:V6 U28:V29">
    <cfRule type="cellIs" dxfId="21" priority="41" operator="equal">
      <formula>"Suma trebuie să fie 52"</formula>
    </cfRule>
    <cfRule type="cellIs" dxfId="20" priority="42" operator="equal">
      <formula>"Corect"</formula>
    </cfRule>
    <cfRule type="cellIs" dxfId="19" priority="43" operator="equal">
      <formula>SUM($B$28:$J$28)</formula>
    </cfRule>
    <cfRule type="cellIs" dxfId="18" priority="44" operator="lessThan">
      <formula>"(SUM(B28:K28)=52"</formula>
    </cfRule>
    <cfRule type="cellIs" dxfId="17" priority="45" operator="equal">
      <formula>52</formula>
    </cfRule>
    <cfRule type="cellIs" dxfId="16" priority="46" operator="equal">
      <formula>$K$28</formula>
    </cfRule>
    <cfRule type="cellIs" dxfId="15" priority="47" operator="equal">
      <formula>$B$28:$K$28=52</formula>
    </cfRule>
  </conditionalFormatting>
  <conditionalFormatting sqref="U202:V202 U3:V6 U28:V29">
    <cfRule type="cellIs" dxfId="14" priority="39" operator="equal">
      <formula>"Suma trebuie să fie 52"</formula>
    </cfRule>
    <cfRule type="cellIs" dxfId="13" priority="40" operator="equal">
      <formula>"Corect"</formula>
    </cfRule>
  </conditionalFormatting>
  <conditionalFormatting sqref="U3:W6">
    <cfRule type="cellIs" dxfId="12" priority="38" operator="equal">
      <formula>"Trebuie alocate cel puțin 20 de ore pe săptămână"</formula>
    </cfRule>
  </conditionalFormatting>
  <conditionalFormatting sqref="U28:V29 U202:W202">
    <cfRule type="cellIs" dxfId="11" priority="26" operator="equal">
      <formula>"Corect"</formula>
    </cfRule>
  </conditionalFormatting>
  <conditionalFormatting sqref="U28:V28">
    <cfRule type="cellIs" dxfId="10" priority="25" operator="equal">
      <formula>"Correct"</formula>
    </cfRule>
  </conditionalFormatting>
  <conditionalFormatting sqref="U46:V46 U57:V57 U70:V70 U79:V79">
    <cfRule type="cellIs" dxfId="9" priority="22" operator="equal">
      <formula>"E trebuie să fie cel puțin egal cu C+VP"</formula>
    </cfRule>
    <cfRule type="cellIs" dxfId="8" priority="23" operator="equal">
      <formula>"Corect"</formula>
    </cfRule>
  </conditionalFormatting>
  <conditionalFormatting sqref="U202:V202">
    <cfRule type="cellIs" dxfId="7" priority="4" operator="equal">
      <formula>"Nu corespunde cu tabelul de opționale"</formula>
    </cfRule>
    <cfRule type="cellIs" dxfId="6" priority="5" operator="equal">
      <formula>"Suma trebuie să fie 52"</formula>
    </cfRule>
    <cfRule type="cellIs" dxfId="5" priority="6" operator="equal">
      <formula>"Corect"</formula>
    </cfRule>
    <cfRule type="cellIs" dxfId="4" priority="7" operator="equal">
      <formula>SUM($B$28:$J$28)</formula>
    </cfRule>
    <cfRule type="cellIs" dxfId="3" priority="8" operator="lessThan">
      <formula>"(SUM(B28:K28)=52"</formula>
    </cfRule>
    <cfRule type="cellIs" dxfId="2" priority="9" operator="equal">
      <formula>52</formula>
    </cfRule>
    <cfRule type="cellIs" dxfId="1" priority="10" operator="equal">
      <formula>$K$28</formula>
    </cfRule>
    <cfRule type="cellIs" dxfId="0" priority="11" operator="equal">
      <formula>$B$28:$K$28=52</formula>
    </cfRule>
  </conditionalFormatting>
  <dataValidations count="7">
    <dataValidation type="list" allowBlank="1" showInputMessage="1" showErrorMessage="1" sqref="R75:R78 R108:R109 R94:R95 R51:R56 R105:R106 R40:R45 R64:R69 R86:R92 R111:R113 R115">
      <formula1>$R$39</formula1>
    </dataValidation>
    <dataValidation type="list" allowBlank="1" showInputMessage="1" showErrorMessage="1" sqref="Q75:Q78 Q86:Q92 Q105:Q106 Q51:Q56 Q108:Q109 Q40:Q45 Q64:Q69 Q94:Q95 Q111:Q113 Q115">
      <formula1>$Q$39</formula1>
    </dataValidation>
    <dataValidation type="list" allowBlank="1" showInputMessage="1" showErrorMessage="1" sqref="S75:S78 S86:S92 S64:S69 S51:S56 S108:S109 S40:S45 S94:S95 S105:S106 S111:S113 S115">
      <formula1>$S$39</formula1>
    </dataValidation>
    <dataValidation type="list" allowBlank="1" showInputMessage="1" showErrorMessage="1" sqref="T108:T109 T75:T78 T94:T95 T154 T51:T55 T40:T45 T64:T69 T105:T106 T181:T186 T126:T138 T164:T166 T189:T191 T141 T169 T111:T113 T115">
      <formula1>$O$36:$S$36</formula1>
    </dataValidation>
    <dataValidation type="list" allowBlank="1" showInputMessage="1" showErrorMessage="1" sqref="T139 T155 T167 T187">
      <formula1>$P$36:$S$36</formula1>
    </dataValidation>
    <dataValidation type="list" allowBlank="1" showInputMessage="1" showErrorMessage="1" sqref="B189:I191 B154:I154 B126:I138 B141:I141 B181:I186 B164:I166 B169:I169">
      <formula1>$B$38:$B$115</formula1>
    </dataValidation>
    <dataValidation type="list" allowBlank="1" showInputMessage="1" showErrorMessage="1" sqref="T56 T86:T92">
      <formula1>$O$36:$T$36</formula1>
    </dataValidation>
  </dataValidations>
  <pageMargins left="0.7" right="0.7" top="0.75" bottom="0.75" header="0.3" footer="0.3"/>
  <pageSetup paperSize="9" orientation="landscape" blackAndWhite="1" r:id="rId1"/>
  <headerFooter>
    <oddHeader>&amp;C&amp;R&amp;P</oddHeader>
    <oddFooter>&amp;LRECTOR,Prof. univ. dr. Daniel DAVID&amp;RCONSILIUL DIRECTOR,Conf. univ. dr. SOÓS Anna</oddFooter>
  </headerFooter>
  <ignoredErrors>
    <ignoredError sqref="Q46" formula="1"/>
  </ignoredError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5A1F71BAC23EC4B83772869D8B3BD6C" ma:contentTypeVersion="6" ma:contentTypeDescription="Create a new document." ma:contentTypeScope="" ma:versionID="c6e3abfc515d93b95257742f2c683af9">
  <xsd:schema xmlns:xsd="http://www.w3.org/2001/XMLSchema" xmlns:xs="http://www.w3.org/2001/XMLSchema" xmlns:p="http://schemas.microsoft.com/office/2006/metadata/properties" xmlns:ns2="01b0800b-a583-44a8-a1dd-c08bdd5d9ade" targetNamespace="http://schemas.microsoft.com/office/2006/metadata/properties" ma:root="true" ma:fieldsID="d5ccc9ee1bcc1f8f59f2b89baa62ecbb" ns2:_="">
    <xsd:import namespace="01b0800b-a583-44a8-a1dd-c08bdd5d9ad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0800b-a583-44a8-a1dd-c08bdd5d9a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D54E7A1D-D733-4215-B5BA-4564572BE767}">
  <ds:schemaRefs>
    <ds:schemaRef ds:uri="http://schemas.microsoft.com/sharepoint/v3/contenttype/forms"/>
  </ds:schemaRefs>
</ds:datastoreItem>
</file>

<file path=customXml/itemProps2.xml><?xml version="1.0" encoding="utf-8"?>
<ds:datastoreItem xmlns:ds="http://schemas.openxmlformats.org/officeDocument/2006/customXml" ds:itemID="{552A110C-7EFA-498F-9B74-D917C2489C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0800b-a583-44a8-a1dd-c08bdd5d9a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47E3DA-5698-49A4-92EA-B6C4521E51D0}">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2" baseType="variant">
      <vt:variant>
        <vt:lpstr>Munkalapok</vt:lpstr>
      </vt:variant>
      <vt:variant>
        <vt:i4>3</vt:i4>
      </vt:variant>
    </vt:vector>
  </HeadingPairs>
  <TitlesOfParts>
    <vt:vector size="3" baseType="lpstr">
      <vt:lpstr>Sheet1</vt:lpstr>
      <vt:lpstr>Sheet2</vt:lpstr>
      <vt:lpstr>Sheet3</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Gelu</dc:creator>
  <cp:keywords/>
  <dc:description/>
  <cp:lastModifiedBy>Sógor Árpád</cp:lastModifiedBy>
  <cp:revision/>
  <dcterms:created xsi:type="dcterms:W3CDTF">2013-06-27T08:19:59Z</dcterms:created>
  <dcterms:modified xsi:type="dcterms:W3CDTF">2020-08-10T18:12:00Z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0x01010015A1F71BAC23EC4B83772869D8B3BD6C</vt:lpwstr>
  </property>
</Properties>
</file>